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18F5C016-378B-4653-98CC-811C12483C83}" xr6:coauthVersionLast="47" xr6:coauthVersionMax="47" xr10:uidLastSave="{00000000-0000-0000-0000-000000000000}"/>
  <bookViews>
    <workbookView xWindow="28680" yWindow="-120" windowWidth="29040" windowHeight="15720" tabRatio="433" activeTab="6"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8" i="10" l="1"/>
  <c r="D138" i="10" s="1"/>
  <c r="K137" i="8"/>
  <c r="J137" i="8"/>
  <c r="I137" i="8"/>
  <c r="P137" i="8"/>
  <c r="Q137" i="8"/>
  <c r="R137" i="8"/>
  <c r="O137" i="8" l="1"/>
  <c r="N136" i="8"/>
  <c r="D137" i="8" l="1"/>
  <c r="C137" i="8"/>
  <c r="I136" i="8"/>
  <c r="J136" i="8"/>
  <c r="K136" i="8"/>
  <c r="P136" i="8"/>
  <c r="Q136" i="8"/>
  <c r="N135" i="8"/>
  <c r="C136" i="8" l="1"/>
  <c r="O136" i="8"/>
  <c r="R136" i="8" s="1"/>
  <c r="D136" i="8" s="1"/>
  <c r="N134" i="8"/>
  <c r="C137" i="10" l="1"/>
  <c r="K135" i="8"/>
  <c r="J135" i="8"/>
  <c r="I135" i="8"/>
  <c r="Q135" i="8"/>
  <c r="P135" i="8"/>
  <c r="O135" i="8" l="1"/>
  <c r="R135" i="8" s="1"/>
  <c r="D135" i="8" l="1"/>
  <c r="C135" i="8"/>
  <c r="O122" i="8"/>
  <c r="R122" i="8" s="1"/>
  <c r="O123" i="8"/>
  <c r="R123" i="8" s="1"/>
  <c r="O124" i="8"/>
  <c r="R124" i="8" s="1"/>
  <c r="O125" i="8"/>
  <c r="R125" i="8" s="1"/>
  <c r="O126" i="8"/>
  <c r="R126" i="8" s="1"/>
  <c r="O127" i="8"/>
  <c r="R127" i="8" s="1"/>
  <c r="O128" i="8"/>
  <c r="R128" i="8" s="1"/>
  <c r="O129" i="8"/>
  <c r="R129" i="8" s="1"/>
  <c r="O130" i="8"/>
  <c r="R130" i="8" s="1"/>
  <c r="O131" i="8"/>
  <c r="R131" i="8" s="1"/>
  <c r="O132" i="8"/>
  <c r="R132" i="8" s="1"/>
  <c r="O133" i="8"/>
  <c r="O134" i="8"/>
  <c r="R134" i="8" s="1"/>
  <c r="P122" i="8"/>
  <c r="P123" i="8"/>
  <c r="P124" i="8"/>
  <c r="P125" i="8"/>
  <c r="P126" i="8"/>
  <c r="P127" i="8"/>
  <c r="P128" i="8"/>
  <c r="P129" i="8"/>
  <c r="P130" i="8"/>
  <c r="P131" i="8"/>
  <c r="P132" i="8"/>
  <c r="P133" i="8"/>
  <c r="R133" i="8"/>
  <c r="P134" i="8"/>
  <c r="I122" i="8"/>
  <c r="I123" i="8"/>
  <c r="I124" i="8"/>
  <c r="I125" i="8"/>
  <c r="I126" i="8"/>
  <c r="I127" i="8"/>
  <c r="I128" i="8"/>
  <c r="I129" i="8"/>
  <c r="I130" i="8"/>
  <c r="I131" i="8"/>
  <c r="I132" i="8"/>
  <c r="I133" i="8"/>
  <c r="I134" i="8"/>
  <c r="J122" i="8"/>
  <c r="J123" i="8"/>
  <c r="J124" i="8"/>
  <c r="J125" i="8"/>
  <c r="J126" i="8"/>
  <c r="J127" i="8"/>
  <c r="J128" i="8"/>
  <c r="J129" i="8"/>
  <c r="J130" i="8"/>
  <c r="J131" i="8"/>
  <c r="J132" i="8"/>
  <c r="J133" i="8"/>
  <c r="J134" i="8"/>
  <c r="K122" i="8"/>
  <c r="K123" i="8"/>
  <c r="K124" i="8"/>
  <c r="K125" i="8"/>
  <c r="K126" i="8"/>
  <c r="K127" i="8"/>
  <c r="K128" i="8"/>
  <c r="K129" i="8"/>
  <c r="K130" i="8"/>
  <c r="K131" i="8"/>
  <c r="K132" i="8"/>
  <c r="K133" i="8"/>
  <c r="K134" i="8"/>
  <c r="C136" i="10" l="1"/>
  <c r="C134" i="8"/>
  <c r="Q134" i="8"/>
  <c r="D137" i="10" l="1"/>
  <c r="N133" i="8"/>
  <c r="Q133" i="8" s="1"/>
  <c r="D134" i="8" l="1"/>
  <c r="N132" i="8"/>
  <c r="Q132" i="8" s="1"/>
  <c r="C135" i="10" l="1"/>
  <c r="D136" i="10" s="1"/>
  <c r="C133" i="8"/>
  <c r="D133" i="8"/>
  <c r="C134" i="10" l="1"/>
  <c r="D135" i="10" s="1"/>
  <c r="N131" i="8"/>
  <c r="Q131" i="8" s="1"/>
  <c r="D132" i="8" l="1"/>
  <c r="C132" i="8"/>
  <c r="C133" i="10" l="1"/>
  <c r="D134" i="10" s="1"/>
  <c r="C131" i="8"/>
  <c r="D131" i="8"/>
  <c r="N130" i="8"/>
  <c r="Q130" i="8" s="1"/>
  <c r="C132" i="10" l="1"/>
  <c r="D133" i="10" s="1"/>
  <c r="C130" i="8" l="1"/>
  <c r="D130" i="8" l="1"/>
  <c r="C131" i="10" s="1"/>
  <c r="D132" i="10" s="1"/>
  <c r="N126" i="8" l="1"/>
  <c r="Q126" i="8" s="1"/>
  <c r="N129" i="8"/>
  <c r="Q129" i="8" s="1"/>
  <c r="C129" i="8" l="1"/>
  <c r="D129" i="8"/>
  <c r="N128" i="8"/>
  <c r="Q128" i="8" s="1"/>
  <c r="C130" i="10" l="1"/>
  <c r="D131" i="10" s="1"/>
  <c r="N127" i="8"/>
  <c r="Q127" i="8" s="1"/>
  <c r="C128" i="8" l="1"/>
  <c r="D128" i="8"/>
  <c r="C129" i="10" l="1"/>
  <c r="D130" i="10" s="1"/>
  <c r="C127" i="8"/>
  <c r="D127" i="8" l="1"/>
  <c r="C128" i="10" l="1"/>
  <c r="D129" i="10" s="1"/>
  <c r="C126" i="8" l="1"/>
  <c r="D126" i="8"/>
  <c r="C127" i="10" l="1"/>
  <c r="D128" i="10" s="1"/>
  <c r="N125" i="8"/>
  <c r="Q125" i="8" s="1"/>
  <c r="N124" i="8"/>
  <c r="Q124" i="8" s="1"/>
  <c r="C125" i="8" l="1"/>
  <c r="D125" i="8"/>
  <c r="N123" i="8"/>
  <c r="Q123" i="8" s="1"/>
  <c r="C126" i="10" l="1"/>
  <c r="D127" i="10" s="1"/>
  <c r="D124" i="8" l="1"/>
  <c r="C124" i="8"/>
  <c r="N122" i="8"/>
  <c r="Q122" i="8" s="1"/>
  <c r="C125" i="10" l="1"/>
  <c r="D126" i="10" s="1"/>
  <c r="D123" i="8" l="1"/>
  <c r="C123" i="8"/>
  <c r="C124" i="10" l="1"/>
  <c r="D125" i="10" s="1"/>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N113" i="8"/>
  <c r="N114" i="8"/>
  <c r="N115" i="8"/>
  <c r="N116" i="8"/>
  <c r="C118" i="10" l="1"/>
  <c r="D119" i="10" s="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5"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<sst xmlns="http://schemas.openxmlformats.org/spreadsheetml/2006/main" count="159" uniqueCount="67">
  <si>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</si>
  <si>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</si>
  <si>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</si>
  <si>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</si>
  <si>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</si>
  <si>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</si>
  <si>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</si>
  <si>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</si>
  <si>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</si>
  <si>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</si>
  <si>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</si>
  <si>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</si>
  <si>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</si>
  <si>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</si>
  <si>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</si>
  <si>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</si>
  <si>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</si>
  <si>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</si>
  <si>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</si>
  <si>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</si>
  <si>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</si>
  <si>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</si>
  <si>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</si>
  <si>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</si>
  <si>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</si>
  <si>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</si>
  <si>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</si>
  <si>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</si>
  <si>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</si>
  <si>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</si>
  <si>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</si>
  <si>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</si>
  <si>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</si>
  <si>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</si>
  <si>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</si>
  <si>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</si>
  <si>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</si>
  <si>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</si>
  <si>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</si>
  <si>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</si>
  <si>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</si>
  <si>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</si>
  <si>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</si>
  <si>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</si>
  <si>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</si>
  <si>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</si>
  <si>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</si>
  <si>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</si>
  <si>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</si>
  <si>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</si>
  <si>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</si>
  <si>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</si>
  <si>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</si>
  <si>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</si>
  <si>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t>From Dec-21 processing costs are being updated quarterly based on changes in the cost of labour, energy and general inflation.</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</si>
  <si>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</si>
  <si>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</si>
  <si>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</si>
  <si>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</si>
  <si>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©Agriculture and Horticulture Development Board 2025. All rights reserved.</t>
  </si>
  <si>
    <t>Processing costs were updated in 2020 and used for historic prices back to April 2015.</t>
  </si>
  <si>
    <t>Notes: Processing costs were updated in September 2025 and back dated until September 2024</t>
  </si>
  <si>
    <t>The market indicator costs and yields were reviewed in September 2025 to reflect changes in milk composition and costs.</t>
  </si>
  <si>
    <r>
      <rPr>
        <b/>
        <sz val="12"/>
        <color rgb="FF575756"/>
        <rFont val="Arial"/>
        <family val="2"/>
      </rPr>
      <t xml:space="preserve">Last updated: </t>
    </r>
    <r>
      <rPr>
        <sz val="12"/>
        <color rgb="FF575756"/>
        <rFont val="Arial"/>
        <family val="2"/>
      </rPr>
      <t>25/09/2025</t>
    </r>
  </si>
  <si>
    <t>Notes: * Processing costs have been updated from each of the marked months, based on changes in the cost of labour, energy and general inflation. Costs will be updated quarterly while we go through the period of high inflation. From September 2025 costs and yields have been updated and back-dated for a period of 12 months (to September 2024).</t>
  </si>
  <si>
    <r>
      <rPr>
        <b/>
        <sz val="12"/>
        <color rgb="FF575756"/>
        <rFont val="Arial"/>
        <family val="2"/>
      </rPr>
      <t xml:space="preserve">Last updated: </t>
    </r>
    <r>
      <rPr>
        <sz val="12"/>
        <color rgb="FF575756"/>
        <rFont val="Arial"/>
        <family val="2"/>
      </rPr>
      <t>18/12/2025</t>
    </r>
  </si>
  <si>
    <r>
      <rPr>
        <b/>
        <sz val="12"/>
        <color rgb="FF575756"/>
        <rFont val="Arial"/>
        <family val="2"/>
      </rPr>
      <t>Last updated:</t>
    </r>
    <r>
      <rPr>
        <sz val="12"/>
        <color rgb="FF575756"/>
        <rFont val="Arial"/>
        <family val="2"/>
      </rPr>
      <t xml:space="preserve"> 18/12/2025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</si>
</sst>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3">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4" fontId="16" fillId="3" borderId="0" xfId="13" applyFont="1" applyFill="1">
      <alignment horizontal="left" vertical="top"/>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5" applyNumberFormat="1" applyFont="1" applyFill="1" applyBorder="1" applyAlignment="1">
      <alignment horizontal="left" vertical="center"/>
    </xf>
    <xf numFmtId="166" fontId="11" fillId="3" borderId="1" xfId="5" applyNumberFormat="1" applyFont="1" applyFill="1" applyAlignment="1">
      <alignment horizontal="right" vertical="center"/>
    </xf>
    <xf numFmtId="3" fontId="11" fillId="3" borderId="1" xfId="5" applyNumberFormat="1" applyFont="1" applyFill="1" applyAlignment="1">
      <alignment horizontal="right" vertical="center"/>
    </xf>
    <xf numFmtId="4" fontId="1" fillId="3" borderId="0" xfId="0" applyFont="1" applyFill="1">
      <alignment horizontal="left" vertical="top"/>
    </xf>
    <xf numFmtId="4" fontId="1" fillId="3" borderId="0" xfId="13" applyFont="1" applyFill="1" applyAlignment="1">
      <alignment vertical="top"/>
    </xf>
    <xf numFmtId="168" fontId="11" fillId="3" borderId="0" xfId="1" applyNumberFormat="1" applyFont="1" applyFill="1" applyAlignment="1">
      <alignment horizontal="left" vertical="top"/>
    </xf>
    <xf numFmtId="168" fontId="0" fillId="3" borderId="0" xfId="1" applyNumberFormat="1" applyFont="1" applyFill="1" applyAlignment="1">
      <alignment horizontal="left" vertical="top"/>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a:t>
            </a:r>
            <a:endParaRPr lang="en-GB" b="1"/>
          </a:p>
        </c:rich>
      </c:tx>
      <c:layout>
        <c:manualLayout>
          <c:xMode val="edge"/>
          <c:yMode val="edge"/>
          <c:x val="0.35828317901234569"/>
          <c:y val="2.057870370370370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strRef>
              <c:f>'AMPE-MCVE'!$C$7</c:f>
              <c:strCache>
                <c:ptCount val="1"/>
                <c:pt idx="0">
                  <c:v>AMPE</c:v>
                </c:pt>
              </c:strCache>
            </c:strRef>
          </c:tx>
          <c:spPr>
            <a:ln w="28575"/>
          </c:spPr>
          <c:marker>
            <c:symbol val="none"/>
          </c:marker>
          <c:cat>
            <c:numRef>
              <c:f>'AMPE-MCVE'!$B$9:$B$137</c:f>
              <c:numCache>
                <c:formatCode>mmm\-yy</c:formatCode>
                <c:ptCount val="129"/>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numCache>
            </c:numRef>
          </c:cat>
          <c:val>
            <c:numRef>
              <c:f>'AMPE-MCVE'!$C$9:$C$137</c:f>
              <c:numCache>
                <c:formatCode>#,##0.0</c:formatCode>
                <c:ptCount val="129"/>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50.032009188338044</c:v>
                </c:pt>
                <c:pt idx="114">
                  <c:v>48.21366118144072</c:v>
                </c:pt>
                <c:pt idx="115">
                  <c:v>48.965669663750127</c:v>
                </c:pt>
                <c:pt idx="116">
                  <c:v>48.107317383396804</c:v>
                </c:pt>
                <c:pt idx="117">
                  <c:v>46.475934342854273</c:v>
                </c:pt>
                <c:pt idx="118">
                  <c:v>44.400891953081818</c:v>
                </c:pt>
                <c:pt idx="119">
                  <c:v>45.094133100292659</c:v>
                </c:pt>
                <c:pt idx="120">
                  <c:v>44.68774503285163</c:v>
                </c:pt>
                <c:pt idx="121">
                  <c:v>44.644713496203828</c:v>
                </c:pt>
                <c:pt idx="122">
                  <c:v>45.256220438773312</c:v>
                </c:pt>
                <c:pt idx="123">
                  <c:v>45.07882166239294</c:v>
                </c:pt>
                <c:pt idx="124">
                  <c:v>44.753547581915868</c:v>
                </c:pt>
                <c:pt idx="125">
                  <c:v>41.268871458742979</c:v>
                </c:pt>
                <c:pt idx="126">
                  <c:v>35.874158068263256</c:v>
                </c:pt>
                <c:pt idx="127">
                  <c:v>33.611818729447108</c:v>
                </c:pt>
                <c:pt idx="128">
                  <c:v>29.881656950944954</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'AMPE-MCVE'!$B$9:$B$137</c:f>
              <c:numCache>
                <c:formatCode>mmm\-yy</c:formatCode>
                <c:ptCount val="129"/>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numCache>
            </c:numRef>
          </c:cat>
          <c:val>
            <c:numRef>
              <c:f>'AMPE-MCVE'!$D$9:$D$137</c:f>
              <c:numCache>
                <c:formatCode>#,##0.0</c:formatCode>
                <c:ptCount val="129"/>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46.777924885212144</c:v>
                </c:pt>
                <c:pt idx="114">
                  <c:v>48.473652449563097</c:v>
                </c:pt>
                <c:pt idx="115">
                  <c:v>47.334261198890871</c:v>
                </c:pt>
                <c:pt idx="116">
                  <c:v>46.216022495840534</c:v>
                </c:pt>
                <c:pt idx="117">
                  <c:v>45.113762277795942</c:v>
                </c:pt>
                <c:pt idx="118">
                  <c:v>44.84047419951122</c:v>
                </c:pt>
                <c:pt idx="119">
                  <c:v>45.66527324040733</c:v>
                </c:pt>
                <c:pt idx="120">
                  <c:v>45.701897299673135</c:v>
                </c:pt>
                <c:pt idx="121">
                  <c:v>44.728700556404142</c:v>
                </c:pt>
                <c:pt idx="122">
                  <c:v>44.165570351925737</c:v>
                </c:pt>
                <c:pt idx="123">
                  <c:v>43.861975058501983</c:v>
                </c:pt>
                <c:pt idx="124">
                  <c:v>43.246807472093415</c:v>
                </c:pt>
                <c:pt idx="125">
                  <c:v>38.466562535317387</c:v>
                </c:pt>
                <c:pt idx="126">
                  <c:v>34.641021164196474</c:v>
                </c:pt>
                <c:pt idx="127">
                  <c:v>33.022894359884923</c:v>
                </c:pt>
                <c:pt idx="128">
                  <c:v>31.457362864212172</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5992"/>
          <c:min val="44896"/>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MMV!$B$10:$B$202</c:f>
              <c:numCache>
                <c:formatCode>mmm\-yy</c:formatCode>
                <c:ptCount val="19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numCache>
            </c:numRef>
          </c:cat>
          <c:val>
            <c:numRef>
              <c:f>MMV!$C$10:$C$202</c:f>
              <c:numCache>
                <c:formatCode>0.0</c:formatCode>
                <c:ptCount val="193"/>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47.428741745837328</c:v>
                </c:pt>
                <c:pt idx="114">
                  <c:v>48.421654195938629</c:v>
                </c:pt>
                <c:pt idx="115">
                  <c:v>47.660542891862725</c:v>
                </c:pt>
                <c:pt idx="116">
                  <c:v>46.594281473351785</c:v>
                </c:pt>
                <c:pt idx="117">
                  <c:v>45.386196690807608</c:v>
                </c:pt>
                <c:pt idx="118">
                  <c:v>44.752557750225343</c:v>
                </c:pt>
                <c:pt idx="119">
                  <c:v>45.551045212384402</c:v>
                </c:pt>
                <c:pt idx="120">
                  <c:v>45.499066846308835</c:v>
                </c:pt>
                <c:pt idx="121">
                  <c:v>44.711903144364079</c:v>
                </c:pt>
                <c:pt idx="122">
                  <c:v>44.383700369295255</c:v>
                </c:pt>
                <c:pt idx="123">
                  <c:v>44.105344379280176</c:v>
                </c:pt>
                <c:pt idx="124">
                  <c:v>43.548155494057909</c:v>
                </c:pt>
                <c:pt idx="125">
                  <c:v>39.027024320002511</c:v>
                </c:pt>
                <c:pt idx="126">
                  <c:v>34.887648545009831</c:v>
                </c:pt>
                <c:pt idx="127">
                  <c:v>33.140679233797364</c:v>
                </c:pt>
                <c:pt idx="128">
                  <c:v>31.14222168155873</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5992"/>
          <c:min val="44896"/>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0.84127</cdr:x>
      <cdr:y>0.01176</cdr:y>
    </cdr:from>
    <cdr:to>
      <cdr:x>1</cdr:x>
      <cdr:y>0.11978</cdr:y>
    </cdr:to>
    <cdr:pic>
      <cdr:nvPicPr>
        <cdr:cNvPr id="2" name="Picture 1">
          <a:extLst xmlns:a="http://schemas.openxmlformats.org/drawingml/2006/main">
            <a:ext uri="{FF2B5EF4-FFF2-40B4-BE49-F238E27FC236}">
              <a16:creationId xmlns:a16="http://schemas.microsoft.com/office/drawing/2014/main" id="{02E40AAC-EEF8-42E2-9EA0-098B55BAD9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30" y="50800"/>
          <a:ext cx="1028570" cy="466646"/>
        </a:xfrm>
        <a:prstGeom xmlns:a="http://schemas.openxmlformats.org/drawingml/2006/main" prst="rect">
          <a:avLst/>
        </a:prstGeom>
      </cdr:spPr>
    </cdr:pic>
  </cdr:relSizeAnchor>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333692</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28555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28555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28520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25980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325801</xdr:colOff>
      <xdr:row>1</xdr:row>
      <xdr:rowOff>49803</xdr:rowOff>
    </xdr:from>
    <xdr:to>
      <xdr:col>11</xdr:col>
      <xdr:colOff>92231</xdr:colOff>
      <xdr:row>28</xdr:row>
      <xdr:rowOff>83553</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D140"/>
  <sheetViews>
    <sheetView zoomScaleNormal="100" workbookViewId="0">
      <pane xSplit="2" ySplit="9" topLeftCell="C132" activePane="bottomRight" state="frozen"/>
      <selection pane="topRight" activeCell="C1" sqref="C1"/>
      <selection pane="bottomLeft" activeCell="A10" sqref="A10"/>
      <selection pane="bottomRight" activeCell="C145" sqref="C145"/>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66</v>
      </c>
    </row>
    <row r="8" spans="1:4" ht="15.5" x14ac:dyDescent="0.3">
      <c r="B8" s="18"/>
      <c r="C8" s="100" t="s">
        <v>38</v>
      </c>
      <c r="D8" s="101"/>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37.298572427693131</v>
      </c>
      <c r="D104" s="37">
        <f t="shared" ref="D104" si="11">C104-C103</f>
        <v>-5.2826238937657735</v>
      </c>
    </row>
    <row r="105" spans="2:4" ht="15.5" x14ac:dyDescent="0.3">
      <c r="B105" s="41">
        <v>44986</v>
      </c>
      <c r="C105" s="83">
        <f>(0.2*'AMPE-MCVE'!C104)+(0.8*'AMPE-MCVE'!D104)</f>
        <v>37.375911444501924</v>
      </c>
      <c r="D105" s="34">
        <f>C105-C104</f>
        <v>7.7339016808792849E-2</v>
      </c>
    </row>
    <row r="106" spans="2:4" ht="15.5" x14ac:dyDescent="0.3">
      <c r="B106" s="42">
        <v>45017</v>
      </c>
      <c r="C106" s="82">
        <f>(0.2*'AMPE-MCVE'!C105)+(0.8*'AMPE-MCVE'!D105)</f>
        <v>35.499269168682375</v>
      </c>
      <c r="D106" s="37">
        <f t="shared" ref="D106" si="12">C106-C105</f>
        <v>-1.8766422758195489</v>
      </c>
    </row>
    <row r="107" spans="2:4" ht="15.5" x14ac:dyDescent="0.3">
      <c r="B107" s="41">
        <v>45047</v>
      </c>
      <c r="C107" s="83">
        <f>(0.2*'AMPE-MCVE'!C106)+(0.8*'AMPE-MCVE'!D106)</f>
        <v>35.402103847938385</v>
      </c>
      <c r="D107" s="34">
        <f t="shared" ref="D107:D108" si="13">C107-C106</f>
        <v>-9.716532074398998E-2</v>
      </c>
    </row>
    <row r="108" spans="2:4" ht="15.5" x14ac:dyDescent="0.3">
      <c r="B108" s="42">
        <v>45078</v>
      </c>
      <c r="C108" s="82">
        <f>(0.2*'AMPE-MCVE'!C107)+(0.8*'AMPE-MCVE'!D107)</f>
        <v>35.584304536242875</v>
      </c>
      <c r="D108" s="37">
        <f t="shared" si="13"/>
        <v>0.18220068830449065</v>
      </c>
    </row>
    <row r="109" spans="2:4" ht="15.5" x14ac:dyDescent="0.3">
      <c r="B109" s="41">
        <v>45108</v>
      </c>
      <c r="C109" s="83">
        <f>(0.2*'AMPE-MCVE'!C108)+(0.8*'AMPE-MCVE'!D108)</f>
        <v>33.615188094895785</v>
      </c>
      <c r="D109" s="34">
        <f t="shared" ref="D109:D110" si="14">C109-C108</f>
        <v>-1.9691164413470901</v>
      </c>
    </row>
    <row r="110" spans="2:4" ht="15.5" x14ac:dyDescent="0.3">
      <c r="B110" s="42">
        <v>45139</v>
      </c>
      <c r="C110" s="82">
        <f>(0.2*'AMPE-MCVE'!C109)+(0.8*'AMPE-MCVE'!D109)</f>
        <v>32.03931248995022</v>
      </c>
      <c r="D110" s="37">
        <f t="shared" si="14"/>
        <v>-1.5758756049455656</v>
      </c>
    </row>
    <row r="111" spans="2:4" ht="15.5" x14ac:dyDescent="0.3">
      <c r="B111" s="41">
        <v>45170</v>
      </c>
      <c r="C111" s="83">
        <f>(0.2*'AMPE-MCVE'!C110)+(0.8*'AMPE-MCVE'!D110)</f>
        <v>31.496373712768879</v>
      </c>
      <c r="D111" s="34">
        <f>C111-C110</f>
        <v>-0.54293877718134098</v>
      </c>
    </row>
    <row r="112" spans="2:4" ht="15.5" x14ac:dyDescent="0.3">
      <c r="B112" s="42">
        <v>45200</v>
      </c>
      <c r="C112" s="82">
        <f>(0.2*'AMPE-MCVE'!C111)+(0.8*'AMPE-MCVE'!D111)</f>
        <v>33.530844264738526</v>
      </c>
      <c r="D112" s="37">
        <f t="shared" ref="D112" si="15">C112-C111</f>
        <v>2.0344705519696475</v>
      </c>
    </row>
    <row r="113" spans="2:4" ht="15.5" x14ac:dyDescent="0.3">
      <c r="B113" s="41">
        <v>45231</v>
      </c>
      <c r="C113" s="83">
        <f>(0.2*'AMPE-MCVE'!C112)+(0.8*'AMPE-MCVE'!D112)</f>
        <v>35.667034429797496</v>
      </c>
      <c r="D113" s="34">
        <f>C113-C112</f>
        <v>2.1361901650589701</v>
      </c>
    </row>
    <row r="114" spans="2:4" ht="15.5" x14ac:dyDescent="0.3">
      <c r="B114" s="42">
        <v>45261</v>
      </c>
      <c r="C114" s="82">
        <f>(0.2*'AMPE-MCVE'!C113)+(0.8*'AMPE-MCVE'!D113)</f>
        <v>36.81980592945645</v>
      </c>
      <c r="D114" s="37">
        <f t="shared" ref="D114" si="16">C114-C113</f>
        <v>1.1527714996589538</v>
      </c>
    </row>
    <row r="115" spans="2:4" ht="15.5" x14ac:dyDescent="0.3">
      <c r="B115" s="41">
        <v>45292</v>
      </c>
      <c r="C115" s="83">
        <f>(0.2*'AMPE-MCVE'!C114)+(0.8*'AMPE-MCVE'!D114)</f>
        <v>37.579870023570415</v>
      </c>
      <c r="D115" s="34">
        <f>C115-C114</f>
        <v>0.76006409411396447</v>
      </c>
    </row>
    <row r="116" spans="2:4" ht="15.5" x14ac:dyDescent="0.3">
      <c r="B116" s="42">
        <v>45323</v>
      </c>
      <c r="C116" s="82">
        <f>(0.2*'AMPE-MCVE'!C115)+(0.8*'AMPE-MCVE'!D115)</f>
        <v>36.973413347534304</v>
      </c>
      <c r="D116" s="37">
        <f t="shared" ref="D116" si="17">C116-C115</f>
        <v>-0.60645667603611031</v>
      </c>
    </row>
    <row r="117" spans="2:4" ht="15.5" x14ac:dyDescent="0.3">
      <c r="B117" s="41">
        <v>45352</v>
      </c>
      <c r="C117" s="83">
        <f>(0.2*'AMPE-MCVE'!C116)+(0.8*'AMPE-MCVE'!D116)</f>
        <v>36.349464285446331</v>
      </c>
      <c r="D117" s="34">
        <f t="shared" ref="D117:D123" si="18">C117-C116</f>
        <v>-0.62394906208797352</v>
      </c>
    </row>
    <row r="118" spans="2:4" ht="15.5" x14ac:dyDescent="0.3">
      <c r="B118" s="42">
        <v>45383</v>
      </c>
      <c r="C118" s="82">
        <f>(0.2*'AMPE-MCVE'!C117)+(0.8*'AMPE-MCVE'!D117)</f>
        <v>35.682998771983478</v>
      </c>
      <c r="D118" s="37">
        <f t="shared" si="18"/>
        <v>-0.66646551346285321</v>
      </c>
    </row>
    <row r="119" spans="2:4" ht="15.5" x14ac:dyDescent="0.3">
      <c r="B119" s="41">
        <v>45413</v>
      </c>
      <c r="C119" s="83">
        <f>(0.2*'AMPE-MCVE'!C118)+(0.8*'AMPE-MCVE'!D118)</f>
        <v>36.538642873957642</v>
      </c>
      <c r="D119" s="34">
        <f t="shared" si="18"/>
        <v>0.85564410197416407</v>
      </c>
    </row>
    <row r="120" spans="2:4" ht="15.5" x14ac:dyDescent="0.3">
      <c r="B120" s="42">
        <v>45444</v>
      </c>
      <c r="C120" s="82">
        <f>(0.2*'AMPE-MCVE'!C119)+(0.8*'AMPE-MCVE'!D119)</f>
        <v>38.65149442735521</v>
      </c>
      <c r="D120" s="37">
        <f t="shared" si="18"/>
        <v>2.1128515533975687</v>
      </c>
    </row>
    <row r="121" spans="2:4" ht="15.5" x14ac:dyDescent="0.3">
      <c r="B121" s="41">
        <v>45474</v>
      </c>
      <c r="C121" s="83">
        <f>(0.2*'AMPE-MCVE'!C120)+(0.8*'AMPE-MCVE'!D120)</f>
        <v>39.819190301524969</v>
      </c>
      <c r="D121" s="34">
        <f t="shared" si="18"/>
        <v>1.167695874169759</v>
      </c>
    </row>
    <row r="122" spans="2:4" ht="15.5" x14ac:dyDescent="0.3">
      <c r="B122" s="42">
        <v>45505</v>
      </c>
      <c r="C122" s="82">
        <f>(0.2*'AMPE-MCVE'!C121)+(0.8*'AMPE-MCVE'!D121)</f>
        <v>41.294244057346077</v>
      </c>
      <c r="D122" s="37">
        <f t="shared" si="18"/>
        <v>1.4750537558211079</v>
      </c>
    </row>
    <row r="123" spans="2:4" ht="15.5" x14ac:dyDescent="0.3">
      <c r="B123" s="41">
        <v>45536</v>
      </c>
      <c r="C123" s="83">
        <f>(0.2*'AMPE-MCVE'!C122)+(0.8*'AMPE-MCVE'!D122)</f>
        <v>47.428741745837328</v>
      </c>
      <c r="D123" s="34">
        <f t="shared" si="18"/>
        <v>6.1344976884912512</v>
      </c>
    </row>
    <row r="124" spans="2:4" ht="15.5" x14ac:dyDescent="0.3">
      <c r="B124" s="42">
        <v>45566</v>
      </c>
      <c r="C124" s="82">
        <f>(0.2*'AMPE-MCVE'!C123)+(0.8*'AMPE-MCVE'!D123)</f>
        <v>48.421654195938629</v>
      </c>
      <c r="D124" s="37">
        <f t="shared" ref="D124:D125" si="19">C124-C123</f>
        <v>0.99291245010130069</v>
      </c>
    </row>
    <row r="125" spans="2:4" ht="15.5" x14ac:dyDescent="0.3">
      <c r="B125" s="41">
        <v>45597</v>
      </c>
      <c r="C125" s="83">
        <f>(0.2*'AMPE-MCVE'!C124)+(0.8*'AMPE-MCVE'!D124)</f>
        <v>47.660542891862725</v>
      </c>
      <c r="D125" s="34">
        <f t="shared" si="19"/>
        <v>-0.76111130407590366</v>
      </c>
    </row>
    <row r="126" spans="2:4" ht="15.5" x14ac:dyDescent="0.3">
      <c r="B126" s="42">
        <v>45627</v>
      </c>
      <c r="C126" s="82">
        <f>(0.2*'AMPE-MCVE'!C125)+(0.8*'AMPE-MCVE'!D125)</f>
        <v>46.594281473351785</v>
      </c>
      <c r="D126" s="37">
        <f t="shared" ref="D126:D127" si="20">C126-C125</f>
        <v>-1.0662614185109405</v>
      </c>
    </row>
    <row r="127" spans="2:4" ht="15.5" x14ac:dyDescent="0.3">
      <c r="B127" s="41">
        <v>45658</v>
      </c>
      <c r="C127" s="83">
        <f>(0.2*'AMPE-MCVE'!C126)+(0.8*'AMPE-MCVE'!D126)</f>
        <v>45.386196690807608</v>
      </c>
      <c r="D127" s="34">
        <f t="shared" si="20"/>
        <v>-1.2080847825441765</v>
      </c>
    </row>
    <row r="128" spans="2:4" ht="15.5" x14ac:dyDescent="0.3">
      <c r="B128" s="42">
        <v>45689</v>
      </c>
      <c r="C128" s="82">
        <f>(0.2*'AMPE-MCVE'!C127)+(0.8*'AMPE-MCVE'!D127)</f>
        <v>44.752557750225343</v>
      </c>
      <c r="D128" s="37">
        <f t="shared" ref="D128:D129" si="21">C128-C127</f>
        <v>-0.63363894058226577</v>
      </c>
    </row>
    <row r="129" spans="2:4" ht="15.5" x14ac:dyDescent="0.3">
      <c r="B129" s="41">
        <v>45717</v>
      </c>
      <c r="C129" s="83">
        <f>(0.2*'AMPE-MCVE'!C128)+(0.8*'AMPE-MCVE'!D128)</f>
        <v>45.551045212384402</v>
      </c>
      <c r="D129" s="34">
        <f t="shared" si="21"/>
        <v>0.79848746215905919</v>
      </c>
    </row>
    <row r="130" spans="2:4" ht="15.5" x14ac:dyDescent="0.3">
      <c r="B130" s="42">
        <v>45748</v>
      </c>
      <c r="C130" s="82">
        <f>(0.2*'AMPE-MCVE'!C129)+(0.8*'AMPE-MCVE'!D129)</f>
        <v>45.499066846308835</v>
      </c>
      <c r="D130" s="37">
        <f t="shared" ref="D130:D131" si="22">C130-C129</f>
        <v>-5.1978366075566385E-2</v>
      </c>
    </row>
    <row r="131" spans="2:4" ht="15.5" x14ac:dyDescent="0.3">
      <c r="B131" s="41">
        <v>45778</v>
      </c>
      <c r="C131" s="83">
        <f>(0.2*'AMPE-MCVE'!C130)+(0.8*'AMPE-MCVE'!D130)</f>
        <v>44.711903144364079</v>
      </c>
      <c r="D131" s="34">
        <f t="shared" si="22"/>
        <v>-0.78716370194475616</v>
      </c>
    </row>
    <row r="132" spans="2:4" ht="15.5" x14ac:dyDescent="0.3">
      <c r="B132" s="42">
        <v>45809</v>
      </c>
      <c r="C132" s="82">
        <f>(0.2*'AMPE-MCVE'!C131)+(0.8*'AMPE-MCVE'!D131)</f>
        <v>44.383700369295255</v>
      </c>
      <c r="D132" s="37">
        <f t="shared" ref="D132:D133" si="23">C132-C131</f>
        <v>-0.32820277506882434</v>
      </c>
    </row>
    <row r="133" spans="2:4" ht="15.5" x14ac:dyDescent="0.3">
      <c r="B133" s="41">
        <v>45839</v>
      </c>
      <c r="C133" s="83">
        <f>(0.2*'AMPE-MCVE'!C132)+(0.8*'AMPE-MCVE'!D132)</f>
        <v>44.105344379280176</v>
      </c>
      <c r="D133" s="34">
        <f t="shared" si="23"/>
        <v>-0.27835599001507916</v>
      </c>
    </row>
    <row r="134" spans="2:4" ht="15.5" x14ac:dyDescent="0.3">
      <c r="B134" s="42">
        <v>45870</v>
      </c>
      <c r="C134" s="82">
        <f>(0.2*'AMPE-MCVE'!C133)+(0.8*'AMPE-MCVE'!D133)</f>
        <v>43.548155494057909</v>
      </c>
      <c r="D134" s="37">
        <f t="shared" ref="D134" si="24">C134-C133</f>
        <v>-0.55718888522226706</v>
      </c>
    </row>
    <row r="135" spans="2:4" ht="15.5" x14ac:dyDescent="0.3">
      <c r="B135" s="41">
        <v>45901</v>
      </c>
      <c r="C135" s="83">
        <f>(0.2*'AMPE-MCVE'!C134)+(0.8*'AMPE-MCVE'!D134)</f>
        <v>39.027024320002511</v>
      </c>
      <c r="D135" s="34">
        <f t="shared" ref="D135" si="25">C135-C134</f>
        <v>-4.5211311740553981</v>
      </c>
    </row>
    <row r="136" spans="2:4" ht="15.5" x14ac:dyDescent="0.3">
      <c r="B136" s="42">
        <v>45931</v>
      </c>
      <c r="C136" s="82">
        <f>(0.2*'AMPE-MCVE'!C135)+(0.8*'AMPE-MCVE'!D135)</f>
        <v>34.887648545009831</v>
      </c>
      <c r="D136" s="37">
        <f t="shared" ref="D136" si="26">C136-C135</f>
        <v>-4.1393757749926792</v>
      </c>
    </row>
    <row r="137" spans="2:4" ht="15.5" x14ac:dyDescent="0.3">
      <c r="B137" s="41">
        <v>45962</v>
      </c>
      <c r="C137" s="83">
        <f>(0.2*'AMPE-MCVE'!C136)+(0.8*'AMPE-MCVE'!D136)</f>
        <v>33.140679233797364</v>
      </c>
      <c r="D137" s="34">
        <f t="shared" ref="D137" si="27">C137-C136</f>
        <v>-1.7469693112124673</v>
      </c>
    </row>
    <row r="138" spans="2:4" ht="15.5" x14ac:dyDescent="0.3">
      <c r="B138" s="42">
        <v>45992</v>
      </c>
      <c r="C138" s="82">
        <f>(0.2*'AMPE-MCVE'!C137)+(0.8*'AMPE-MCVE'!D137)</f>
        <v>31.14222168155873</v>
      </c>
      <c r="D138" s="37">
        <f t="shared" ref="D138" si="28">C138-C137</f>
        <v>-1.9984575522386336</v>
      </c>
    </row>
    <row r="140" spans="2:4" x14ac:dyDescent="0.3">
      <c r="C140" s="99"/>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S341"/>
  <sheetViews>
    <sheetView showGridLines="0" zoomScaleNormal="100" zoomScaleSheetLayoutView="143" zoomScalePageLayoutView="123" workbookViewId="0">
      <pane xSplit="2" ySplit="8" topLeftCell="C9" activePane="bottomRight" state="frozen"/>
      <selection activeCell="B107" sqref="B107"/>
      <selection pane="topRight" activeCell="B107" sqref="B107"/>
      <selection pane="bottomLeft" activeCell="B107" sqref="B107"/>
      <selection pane="bottomRight" activeCell="A5" sqref="A5"/>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0</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65</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102" t="s">
        <v>25</v>
      </c>
      <c r="G6" s="103"/>
      <c r="H6" s="103"/>
      <c r="I6" s="103"/>
      <c r="J6" s="103"/>
      <c r="K6" s="103"/>
      <c r="L6" s="16"/>
      <c r="M6" s="104" t="s">
        <v>26</v>
      </c>
      <c r="N6" s="105"/>
      <c r="O6" s="105"/>
      <c r="P6" s="105"/>
      <c r="Q6" s="105"/>
      <c r="R6" s="105"/>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6" t="s">
        <v>1</v>
      </c>
      <c r="D8" s="107"/>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8"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8"/>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8"/>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8"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8"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8"/>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8"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8"/>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8"/>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8"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1"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1"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1"/>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1" t="s">
        <v>53</v>
      </c>
      <c r="B122" s="41">
        <v>45536</v>
      </c>
      <c r="C122" s="34">
        <f t="shared" si="97"/>
        <v>50.032009188338044</v>
      </c>
      <c r="D122" s="34">
        <f t="shared" ref="D122" si="99">P122+Q122+R122</f>
        <v>46.777924885212144</v>
      </c>
      <c r="E122" s="35"/>
      <c r="F122" s="36">
        <v>6730</v>
      </c>
      <c r="G122" s="36">
        <v>2150</v>
      </c>
      <c r="H122" s="36">
        <v>677</v>
      </c>
      <c r="I122" s="34">
        <f>(F122-'Processing costs'!C122)*100/19200</f>
        <v>33.307291666666664</v>
      </c>
      <c r="J122" s="34">
        <f>((G122-103)-'Processing costs'!E122)*100/202700</f>
        <v>0.80266403552047361</v>
      </c>
      <c r="K122" s="34">
        <f>(G122-'Processing costs'!D122-H122*9.3%)*100/10470</f>
        <v>15.922053486150906</v>
      </c>
      <c r="L122" s="35"/>
      <c r="M122" s="36">
        <v>4150</v>
      </c>
      <c r="N122" s="36">
        <f>896.5/1.17</f>
        <v>766.23931623931628</v>
      </c>
      <c r="O122" s="36">
        <f t="shared" ref="O122:O133" si="100">F122*0.95</f>
        <v>6393.5</v>
      </c>
      <c r="P122" s="34">
        <f>(M122-'Processing costs'!G122)*100/8860</f>
        <v>42.042889390519186</v>
      </c>
      <c r="Q122" s="34">
        <f>(N122-'Processing costs'!H122)*100/16700</f>
        <v>1.8637084804749477</v>
      </c>
      <c r="R122" s="34">
        <f>(O122-'Processing costs'!I122)*100/211000</f>
        <v>2.8713270142180094</v>
      </c>
    </row>
    <row r="123" spans="1:45" x14ac:dyDescent="0.35">
      <c r="A123" s="91"/>
      <c r="B123" s="42">
        <v>45566</v>
      </c>
      <c r="C123" s="37">
        <f t="shared" si="97"/>
        <v>48.21366118144072</v>
      </c>
      <c r="D123" s="37">
        <f t="shared" ref="D123:D128" si="101">P123+Q123+R123</f>
        <v>48.473652449563097</v>
      </c>
      <c r="E123" s="35"/>
      <c r="F123" s="38">
        <v>6500</v>
      </c>
      <c r="G123" s="38">
        <v>2090</v>
      </c>
      <c r="H123" s="38">
        <v>697</v>
      </c>
      <c r="I123" s="37">
        <f>(F123-'Processing costs'!C123)*100/19200</f>
        <v>32.109375</v>
      </c>
      <c r="J123" s="37">
        <f>((G123-103)-'Processing costs'!E123)*100/202700</f>
        <v>0.77306364084854462</v>
      </c>
      <c r="K123" s="37">
        <f>(G123-'Processing costs'!D123-H123*9.3%)*100/10470</f>
        <v>15.33122254059217</v>
      </c>
      <c r="L123" s="35"/>
      <c r="M123" s="38">
        <v>4300</v>
      </c>
      <c r="N123" s="38">
        <f>918.05/1.171</f>
        <v>783.98804440649008</v>
      </c>
      <c r="O123" s="38">
        <f t="shared" si="100"/>
        <v>6175</v>
      </c>
      <c r="P123" s="37">
        <f>(M123-'Processing costs'!G123)*100/8860</f>
        <v>43.735891647855532</v>
      </c>
      <c r="Q123" s="37">
        <f>(N123-'Processing costs'!H123)*100/16700</f>
        <v>1.969988289859222</v>
      </c>
      <c r="R123" s="37">
        <f>(O123-'Processing costs'!I123)*100/211000</f>
        <v>2.7677725118483414</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1"/>
      <c r="B124" s="41">
        <v>45597</v>
      </c>
      <c r="C124" s="34">
        <f t="shared" si="97"/>
        <v>48.965669663750127</v>
      </c>
      <c r="D124" s="34">
        <f t="shared" si="101"/>
        <v>47.334261198890871</v>
      </c>
      <c r="E124" s="35"/>
      <c r="F124" s="36">
        <v>6630</v>
      </c>
      <c r="G124" s="36">
        <v>2100</v>
      </c>
      <c r="H124" s="36">
        <v>725.72971816376253</v>
      </c>
      <c r="I124" s="34">
        <f>(F124-'Processing costs'!C124)*100/19200</f>
        <v>32.786458333333336</v>
      </c>
      <c r="J124" s="34">
        <f>((G124-103)-'Processing costs'!E124)*100/202700</f>
        <v>0.77799703996053282</v>
      </c>
      <c r="K124" s="34">
        <f>(G124-'Processing costs'!D124-H124*9.3%)*100/10470</f>
        <v>15.401214290456258</v>
      </c>
      <c r="L124" s="35"/>
      <c r="M124" s="36">
        <v>4190</v>
      </c>
      <c r="N124" s="36">
        <f>924.205/1.168</f>
        <v>791.27140410958907</v>
      </c>
      <c r="O124" s="36">
        <f t="shared" si="100"/>
        <v>6298.5</v>
      </c>
      <c r="P124" s="34">
        <f>(M124-'Processing costs'!G124)*100/8860</f>
        <v>42.494356659142213</v>
      </c>
      <c r="Q124" s="34">
        <f>(N124-'Processing costs'!H124)*100/16700</f>
        <v>2.0136012222131083</v>
      </c>
      <c r="R124" s="34">
        <f>(O124-'Processing costs'!I124)*100/211000</f>
        <v>2.8263033175355452</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1"/>
      <c r="B125" s="42">
        <v>45627</v>
      </c>
      <c r="C125" s="37">
        <f t="shared" si="97"/>
        <v>48.107317383396804</v>
      </c>
      <c r="D125" s="37">
        <f t="shared" si="101"/>
        <v>46.216022495840534</v>
      </c>
      <c r="E125" s="35"/>
      <c r="F125" s="38">
        <v>6470</v>
      </c>
      <c r="G125" s="38">
        <v>2100</v>
      </c>
      <c r="H125" s="38">
        <v>753.89621013142096</v>
      </c>
      <c r="I125" s="37">
        <f>(F125-'Processing costs'!C125)*100/19200</f>
        <v>31.953125</v>
      </c>
      <c r="J125" s="37">
        <f>((G125-103)-'Processing costs'!E125)*100/202700</f>
        <v>0.77799703996053282</v>
      </c>
      <c r="K125" s="37">
        <f>(G125-'Processing costs'!D125-H125*9.3%)*100/10470</f>
        <v>15.376195343436274</v>
      </c>
      <c r="L125" s="35"/>
      <c r="M125" s="38">
        <v>4080</v>
      </c>
      <c r="N125" s="38">
        <f>963.13/1.169</f>
        <v>823.8922155688623</v>
      </c>
      <c r="O125" s="38">
        <f t="shared" si="100"/>
        <v>6146.5</v>
      </c>
      <c r="P125" s="37">
        <f>(M125-'Processing costs'!G125)*100/8860</f>
        <v>41.252821670428894</v>
      </c>
      <c r="Q125" s="37">
        <f>(N125-'Processing costs'!H125)*100/16700</f>
        <v>2.2089354225680378</v>
      </c>
      <c r="R125" s="37">
        <f>(O125-'Processing costs'!I125)*100/211000</f>
        <v>2.7542654028436018</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1"/>
      <c r="B126" s="41">
        <v>45658</v>
      </c>
      <c r="C126" s="34">
        <f t="shared" si="97"/>
        <v>46.475934342854273</v>
      </c>
      <c r="D126" s="34">
        <f t="shared" si="101"/>
        <v>45.113762277795942</v>
      </c>
      <c r="E126" s="35"/>
      <c r="F126" s="36">
        <v>6180</v>
      </c>
      <c r="G126" s="36">
        <v>2090</v>
      </c>
      <c r="H126" s="36">
        <v>777</v>
      </c>
      <c r="I126" s="34">
        <f>(F126-'Processing costs'!C126)*100/19200</f>
        <v>30.442708333333332</v>
      </c>
      <c r="J126" s="34">
        <f>((G126-103)-'Processing costs'!E126)*100/202700</f>
        <v>0.77306364084854462</v>
      </c>
      <c r="K126" s="34">
        <f>(G126-'Processing costs'!D126-H126*9.3%)*100/10470</f>
        <v>15.260162368672397</v>
      </c>
      <c r="L126" s="35"/>
      <c r="M126" s="36">
        <v>3990</v>
      </c>
      <c r="N126" s="36">
        <f>970.91/1.168</f>
        <v>831.25856164383561</v>
      </c>
      <c r="O126" s="36">
        <f t="shared" si="100"/>
        <v>5871</v>
      </c>
      <c r="P126" s="34">
        <f>(M126-'Processing costs'!G126)*100/8860</f>
        <v>40.237020316027085</v>
      </c>
      <c r="Q126" s="34">
        <f>(N126-'Processing costs'!H126)*100/16700</f>
        <v>2.2530452793044051</v>
      </c>
      <c r="R126" s="34">
        <f>(O126-'Processing costs'!I126)*100/211000</f>
        <v>2.623696682464455</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44.400891953081818</v>
      </c>
      <c r="D127" s="37">
        <f t="shared" si="101"/>
        <v>44.84047419951122</v>
      </c>
      <c r="E127" s="35"/>
      <c r="F127" s="38">
        <v>5920</v>
      </c>
      <c r="G127" s="38">
        <v>2020</v>
      </c>
      <c r="H127" s="38">
        <v>797</v>
      </c>
      <c r="I127" s="37">
        <f>(F127-'Processing costs'!C127)*100/19200</f>
        <v>29.088541666666668</v>
      </c>
      <c r="J127" s="37">
        <f>((G127-103)-'Processing costs'!E127)*100/202700</f>
        <v>0.73852984706462754</v>
      </c>
      <c r="K127" s="37">
        <f>(G127-'Processing costs'!D127-H127*9.3%)*100/10470</f>
        <v>14.573820439350525</v>
      </c>
      <c r="L127" s="35"/>
      <c r="M127" s="38">
        <v>3960</v>
      </c>
      <c r="N127" s="38">
        <f>1009.93/1.172</f>
        <v>861.71501706484639</v>
      </c>
      <c r="O127" s="38">
        <f t="shared" si="100"/>
        <v>5624</v>
      </c>
      <c r="P127" s="37">
        <f>(M127-'Processing costs'!G127)*100/8860</f>
        <v>39.89841986455982</v>
      </c>
      <c r="Q127" s="37">
        <f>(N127-'Processing costs'!H127)*100/16700</f>
        <v>2.4354192638613559</v>
      </c>
      <c r="R127" s="37">
        <f>(O127-'Processing costs'!I127)*100/211000</f>
        <v>2.5066350710900474</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2">I128+J128+K128</f>
        <v>45.094133100292659</v>
      </c>
      <c r="D128" s="34">
        <f t="shared" si="101"/>
        <v>45.66527324040733</v>
      </c>
      <c r="E128" s="35"/>
      <c r="F128" s="36">
        <v>6070</v>
      </c>
      <c r="G128" s="36">
        <v>2010</v>
      </c>
      <c r="H128" s="36">
        <v>783</v>
      </c>
      <c r="I128" s="34">
        <f>(F128-'Processing costs'!C128)*100/19200</f>
        <v>29.869791666666668</v>
      </c>
      <c r="J128" s="34">
        <f>((G128-103)-'Processing costs'!E128)*100/202700</f>
        <v>0.73359644795263934</v>
      </c>
      <c r="K128" s="34">
        <f>(G128-'Processing costs'!D128-H128*9.3%)*100/10470</f>
        <v>14.490744985673352</v>
      </c>
      <c r="L128" s="35"/>
      <c r="M128" s="36">
        <v>4020</v>
      </c>
      <c r="N128" s="36">
        <f>1023.85/1.17</f>
        <v>875.08547008547021</v>
      </c>
      <c r="O128" s="36">
        <f t="shared" si="100"/>
        <v>5766.5</v>
      </c>
      <c r="P128" s="34">
        <f>(M128-'Processing costs'!G128)*100/8860</f>
        <v>40.575620767494357</v>
      </c>
      <c r="Q128" s="34">
        <f>(N128-'Processing costs'!H128)*100/16700</f>
        <v>2.515481856799223</v>
      </c>
      <c r="R128" s="34">
        <f>(O128-'Processing costs'!I128)*100/211000</f>
        <v>2.5741706161137441</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1"/>
      <c r="B129" s="42">
        <v>45748</v>
      </c>
      <c r="C129" s="37">
        <f t="shared" ref="C129:C134" si="103">I129+J129+K129</f>
        <v>44.68774503285163</v>
      </c>
      <c r="D129" s="37">
        <f t="shared" ref="D129:D130" si="104">P129+Q129+R129</f>
        <v>45.701897299673135</v>
      </c>
      <c r="E129" s="35"/>
      <c r="F129" s="38">
        <v>6050</v>
      </c>
      <c r="G129" s="38">
        <v>1980</v>
      </c>
      <c r="H129" s="38">
        <v>784</v>
      </c>
      <c r="I129" s="37">
        <f>(F129-'Processing costs'!C129)*100/19200</f>
        <v>29.765625</v>
      </c>
      <c r="J129" s="37">
        <f>((G129-103)-'Processing costs'!E129)*100/202700</f>
        <v>0.71879625061667485</v>
      </c>
      <c r="K129" s="37">
        <f>(G129-'Processing costs'!D129-H129*9.3%)*100/10470</f>
        <v>14.203323782234955</v>
      </c>
      <c r="L129" s="35"/>
      <c r="M129" s="38">
        <v>4020</v>
      </c>
      <c r="N129" s="38">
        <f>1031/1.168</f>
        <v>882.70547945205487</v>
      </c>
      <c r="O129" s="38">
        <f t="shared" si="100"/>
        <v>5747.5</v>
      </c>
      <c r="P129" s="37">
        <f>(M129-'Processing costs'!G129)*100/8860</f>
        <v>40.575620767494357</v>
      </c>
      <c r="Q129" s="37">
        <f>(N129-'Processing costs'!H129)*100/16700</f>
        <v>2.5611106554015262</v>
      </c>
      <c r="R129" s="37">
        <f>(O129-'Processing costs'!I129)*100/211000</f>
        <v>2.5651658767772512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3"/>
        <v>44.644713496203828</v>
      </c>
      <c r="D130" s="34">
        <f t="shared" si="104"/>
        <v>44.728700556404142</v>
      </c>
      <c r="E130" s="35"/>
      <c r="F130" s="36">
        <v>6060</v>
      </c>
      <c r="G130" s="36">
        <v>1970</v>
      </c>
      <c r="H130" s="36">
        <v>778</v>
      </c>
      <c r="I130" s="34">
        <f>(F130-'Processing costs'!C130)*100/19200</f>
        <v>29.817708333333332</v>
      </c>
      <c r="J130" s="34">
        <f>((G130-103)-'Processing costs'!E130)*100/202700</f>
        <v>0.71386285150468676</v>
      </c>
      <c r="K130" s="34">
        <f>(G130-'Processing costs'!D130-H130*9.3%)*100/10470</f>
        <v>14.113142311365808</v>
      </c>
      <c r="L130" s="35"/>
      <c r="M130" s="36">
        <v>3950</v>
      </c>
      <c r="N130" s="36">
        <f>993.55/1.167</f>
        <v>851.3710368466152</v>
      </c>
      <c r="O130" s="36">
        <f t="shared" si="100"/>
        <v>5757</v>
      </c>
      <c r="P130" s="34">
        <f>(M130-'Processing costs'!G130)*100/8860</f>
        <v>39.785553047404065</v>
      </c>
      <c r="Q130" s="34">
        <f>(N130-'Processing costs'!H130)*100/16700</f>
        <v>2.3734792625545817</v>
      </c>
      <c r="R130" s="34">
        <f>(O130-'Processing costs'!I130)*100/211000</f>
        <v>2.5696682464454979</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3"/>
        <v>45.256220438773312</v>
      </c>
      <c r="D131" s="37">
        <f t="shared" ref="D131" si="105">P131+Q131+R131</f>
        <v>44.165570351925737</v>
      </c>
      <c r="E131" s="35"/>
      <c r="F131" s="38">
        <v>6160</v>
      </c>
      <c r="G131" s="38">
        <v>1980</v>
      </c>
      <c r="H131" s="38">
        <v>789</v>
      </c>
      <c r="I131" s="37">
        <f>(F131-'Processing costs'!C131)*100/19200</f>
        <v>30.338541666666668</v>
      </c>
      <c r="J131" s="37">
        <f>((G131-103)-'Processing costs'!E131)*100/202700</f>
        <v>0.71879625061667485</v>
      </c>
      <c r="K131" s="37">
        <f>(G131-'Processing costs'!D131-H131*9.3%)*100/10470</f>
        <v>14.198882521489972</v>
      </c>
      <c r="L131" s="35"/>
      <c r="M131" s="38">
        <v>3900</v>
      </c>
      <c r="N131" s="38">
        <f>985.01/1.167</f>
        <v>844.05312767780629</v>
      </c>
      <c r="O131" s="38">
        <f t="shared" si="100"/>
        <v>5852</v>
      </c>
      <c r="P131" s="37">
        <f>(M131-'Processing costs'!G131)*100/8860</f>
        <v>39.221218961625283</v>
      </c>
      <c r="Q131" s="37">
        <f>(N131-'Processing costs'!H131)*100/16700</f>
        <v>2.3296594471724927</v>
      </c>
      <c r="R131" s="37">
        <f>(O131-'Processing costs'!I131)*100/211000</f>
        <v>2.614691943127962</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3"/>
        <v>45.07882166239294</v>
      </c>
      <c r="D132" s="34">
        <f>P132+Q132+R132</f>
        <v>43.861975058501983</v>
      </c>
      <c r="E132" s="35"/>
      <c r="F132" s="36">
        <v>6150</v>
      </c>
      <c r="G132" s="36">
        <v>1970</v>
      </c>
      <c r="H132" s="36">
        <v>817</v>
      </c>
      <c r="I132" s="34">
        <f>(F132-'Processing costs'!C132)*100/19200</f>
        <v>30.286458333333332</v>
      </c>
      <c r="J132" s="34">
        <f>((G132-103)-'Processing costs'!E132)*100/202700</f>
        <v>0.71386285150468676</v>
      </c>
      <c r="K132" s="34">
        <f>(G132-'Processing costs'!D132-H132*9.3%)*100/10470</f>
        <v>14.078500477554918</v>
      </c>
      <c r="L132" s="35"/>
      <c r="M132" s="36">
        <v>3890</v>
      </c>
      <c r="N132" s="36">
        <f>941.4/1.158</f>
        <v>812.9533678756477</v>
      </c>
      <c r="O132" s="36">
        <f t="shared" si="100"/>
        <v>5842.5</v>
      </c>
      <c r="P132" s="34">
        <f>(M132-'Processing costs'!G132)*100/8860</f>
        <v>39.108352144469528</v>
      </c>
      <c r="Q132" s="34">
        <f>(N132-'Processing costs'!H132)*100/16700</f>
        <v>2.1434333405727406</v>
      </c>
      <c r="R132" s="34">
        <f>(O132-'Processing costs'!I132)*100/211000</f>
        <v>2.6101895734597158</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3"/>
        <v>44.753547581915868</v>
      </c>
      <c r="D133" s="37">
        <f t="shared" ref="D133" si="106">P133+Q133+R133</f>
        <v>43.246807472093415</v>
      </c>
      <c r="E133" s="35"/>
      <c r="F133" s="38">
        <v>6050</v>
      </c>
      <c r="G133" s="38">
        <v>1990</v>
      </c>
      <c r="H133" s="38">
        <v>823</v>
      </c>
      <c r="I133" s="37">
        <f>(F133-'Processing costs'!C133)*100/19200</f>
        <v>29.765625</v>
      </c>
      <c r="J133" s="37">
        <f>((G133-103)-'Processing costs'!E133)*100/202700</f>
        <v>0.72372964972866305</v>
      </c>
      <c r="K133" s="37">
        <f>(G133-'Processing costs'!D133-H133*9.3%)*100/10470</f>
        <v>14.264192932187202</v>
      </c>
      <c r="L133" s="35"/>
      <c r="M133" s="38">
        <v>3830</v>
      </c>
      <c r="N133" s="38">
        <f>958.78/1.154</f>
        <v>830.83188908145587</v>
      </c>
      <c r="O133" s="38">
        <f t="shared" si="100"/>
        <v>5747.5</v>
      </c>
      <c r="P133" s="37">
        <f>(M133-'Processing costs'!G133)*100/8860</f>
        <v>38.431151241534991</v>
      </c>
      <c r="Q133" s="37">
        <f>(N133-'Processing costs'!H133)*100/16700</f>
        <v>2.2504903537811729</v>
      </c>
      <c r="R133" s="37">
        <f>(O133-'Processing costs'!I133)*100/211000</f>
        <v>2.5651658767772512</v>
      </c>
    </row>
    <row r="134" spans="1:45" x14ac:dyDescent="0.3">
      <c r="A134" s="96" t="s">
        <v>53</v>
      </c>
      <c r="B134" s="41">
        <v>45901</v>
      </c>
      <c r="C134" s="34">
        <f t="shared" si="103"/>
        <v>41.268871458742979</v>
      </c>
      <c r="D134" s="34">
        <f t="shared" ref="D134" si="107">P134+Q134+R134</f>
        <v>38.466562535317387</v>
      </c>
      <c r="E134" s="35"/>
      <c r="F134" s="36">
        <v>5540</v>
      </c>
      <c r="G134" s="36">
        <v>1910</v>
      </c>
      <c r="H134" s="36">
        <v>851</v>
      </c>
      <c r="I134" s="34">
        <f>(F134-'Processing costs'!C134)*100/19200</f>
        <v>27.109375</v>
      </c>
      <c r="J134" s="34">
        <f>((G134-103)-'Processing costs'!E134)*100/202700</f>
        <v>0.68426245683275777</v>
      </c>
      <c r="K134" s="34">
        <f>(G134-'Processing costs'!D134-H134*9.3%)*100/10470</f>
        <v>13.47523400191022</v>
      </c>
      <c r="L134" s="35"/>
      <c r="M134" s="36">
        <v>3420</v>
      </c>
      <c r="N134" s="36">
        <f>972/1.1521</f>
        <v>843.67676416977702</v>
      </c>
      <c r="O134" s="36">
        <f>F134*0.95</f>
        <v>5263</v>
      </c>
      <c r="P134" s="34">
        <f>(M134-'Processing costs'!G134)*100/8860</f>
        <v>33.803611738148987</v>
      </c>
      <c r="Q134" s="34">
        <f>(N134-'Processing costs'!H134)*100/16700</f>
        <v>2.3274057734717188</v>
      </c>
      <c r="R134" s="34">
        <f>(O134-'Processing costs'!I134)*100/211000</f>
        <v>2.3355450236966826</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
      <c r="A135" s="96"/>
      <c r="B135" s="42">
        <v>45931</v>
      </c>
      <c r="C135" s="37">
        <f t="shared" ref="C135" si="108">I135+J135+K135</f>
        <v>35.874158068263256</v>
      </c>
      <c r="D135" s="37">
        <f t="shared" ref="D135" si="109">P135+Q135+R135</f>
        <v>34.641021164196474</v>
      </c>
      <c r="E135" s="35"/>
      <c r="F135" s="38">
        <v>4680</v>
      </c>
      <c r="G135" s="38">
        <v>1820</v>
      </c>
      <c r="H135" s="38">
        <v>864</v>
      </c>
      <c r="I135" s="37">
        <f>(F135-'Processing costs'!C135)*100/19200</f>
        <v>22.630208333333332</v>
      </c>
      <c r="J135" s="37">
        <f>((G135-103)-'Processing costs'!E135)*100/202700</f>
        <v>0.63986186482486429</v>
      </c>
      <c r="K135" s="37">
        <f>(G135-'Processing costs'!D135-H135*9.3%)*100/10470</f>
        <v>12.604087870105062</v>
      </c>
      <c r="L135" s="35"/>
      <c r="M135" s="38">
        <v>3110</v>
      </c>
      <c r="N135" s="38">
        <f>981/1.149</f>
        <v>853.78590078328978</v>
      </c>
      <c r="O135" s="38">
        <f>F135*0.95</f>
        <v>4446</v>
      </c>
      <c r="P135" s="37">
        <f>(M135-'Processing costs'!G135)*100/8860</f>
        <v>30.304740406320541</v>
      </c>
      <c r="Q135" s="37">
        <f>(N135-'Processing costs'!H135)*100/16700</f>
        <v>2.3879395256484415</v>
      </c>
      <c r="R135" s="37">
        <f>(O135-'Processing costs'!I135)*100/211000</f>
        <v>1.9483412322274882</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x14ac:dyDescent="0.3">
      <c r="A136" s="96"/>
      <c r="B136" s="41">
        <v>45962</v>
      </c>
      <c r="C136" s="34">
        <f>I136+J136+K136</f>
        <v>33.611818729447108</v>
      </c>
      <c r="D136" s="34">
        <f>P136+Q136+R136</f>
        <v>33.022894359884923</v>
      </c>
      <c r="E136" s="35"/>
      <c r="F136" s="36">
        <v>4290</v>
      </c>
      <c r="G136" s="36">
        <v>1800</v>
      </c>
      <c r="H136" s="36">
        <v>898</v>
      </c>
      <c r="I136" s="34">
        <f>(F136-'Processing costs'!C136)*100/19200</f>
        <v>20.598958333333332</v>
      </c>
      <c r="J136" s="34">
        <f>((G136-103)-'Processing costs'!E136)*100/202700</f>
        <v>0.629995066600888</v>
      </c>
      <c r="K136" s="34">
        <f>(G136-'Processing costs'!D136-H136*9.3%)*100/10470</f>
        <v>12.382865329512892</v>
      </c>
      <c r="L136" s="35"/>
      <c r="M136" s="36">
        <v>2960</v>
      </c>
      <c r="N136" s="36">
        <f>1021/1.14</f>
        <v>895.61403508771934</v>
      </c>
      <c r="O136" s="36">
        <f>F136*0.95</f>
        <v>4075.5</v>
      </c>
      <c r="P136" s="34">
        <f>(M136-'Processing costs'!G136)*100/8860</f>
        <v>28.611738148984198</v>
      </c>
      <c r="Q136" s="34">
        <f>(N136-'Processing costs'!H136)*100/16700</f>
        <v>2.6384073957348462</v>
      </c>
      <c r="R136" s="34">
        <f>(O136-'Processing costs'!I136)*100/211000</f>
        <v>1.7727488151658768</v>
      </c>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row>
    <row r="137" spans="1:45" x14ac:dyDescent="0.3">
      <c r="A137" s="96"/>
      <c r="B137" s="42">
        <v>45992</v>
      </c>
      <c r="C137" s="37">
        <f>I137+J137+K137</f>
        <v>29.881656950944954</v>
      </c>
      <c r="D137" s="37">
        <f>P137+Q137+R137</f>
        <v>31.457362864212172</v>
      </c>
      <c r="E137" s="35"/>
      <c r="F137" s="38">
        <v>3710</v>
      </c>
      <c r="G137" s="38">
        <v>1730</v>
      </c>
      <c r="H137" s="38">
        <v>905</v>
      </c>
      <c r="I137" s="37">
        <f>(F137-'Processing costs'!C137)*100/19200</f>
        <v>17.578125</v>
      </c>
      <c r="J137" s="37">
        <f>((G137-103)-'Processing costs'!E137)*100/202700</f>
        <v>0.59546127281697092</v>
      </c>
      <c r="K137" s="37">
        <f>(G137-'Processing costs'!D137-H137*9.3%)*100/10470</f>
        <v>11.708070678127985</v>
      </c>
      <c r="L137" s="35"/>
      <c r="M137" s="38">
        <v>2830</v>
      </c>
      <c r="N137" s="38">
        <v>922.81408796215169</v>
      </c>
      <c r="O137" s="38">
        <f>F137*0.95</f>
        <v>3524.5</v>
      </c>
      <c r="P137" s="37">
        <f>(M137-'Processing costs'!G137)*100/8860</f>
        <v>27.144469525959369</v>
      </c>
      <c r="Q137" s="37">
        <f>(N137-'Processing costs'!H137)*100/16700</f>
        <v>2.8012819638452195</v>
      </c>
      <c r="R137" s="37">
        <f>(O137-'Processing costs'!I137)*100/211000</f>
        <v>1.511611374407583</v>
      </c>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1:45" s="16" customFormat="1" x14ac:dyDescent="0.3">
      <c r="B138" s="93"/>
      <c r="C138" s="94"/>
      <c r="D138" s="94"/>
      <c r="E138" s="35"/>
      <c r="F138" s="95"/>
      <c r="G138" s="95"/>
      <c r="H138" s="95"/>
      <c r="I138" s="94"/>
      <c r="J138" s="94"/>
      <c r="K138" s="94"/>
      <c r="L138" s="35"/>
      <c r="M138" s="95"/>
      <c r="N138" s="95"/>
      <c r="O138" s="95"/>
      <c r="P138" s="94"/>
      <c r="Q138" s="94"/>
      <c r="R138" s="94"/>
    </row>
    <row r="139" spans="1:45" x14ac:dyDescent="0.3">
      <c r="A139" s="96" t="s">
        <v>64</v>
      </c>
      <c r="B139" s="16"/>
      <c r="C139" s="16"/>
      <c r="D139" s="16"/>
      <c r="E139" s="16"/>
      <c r="F139" s="24"/>
      <c r="G139" s="24"/>
      <c r="H139" s="24"/>
      <c r="I139" s="24"/>
      <c r="J139" s="24"/>
      <c r="K139" s="24"/>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x14ac:dyDescent="0.3">
      <c r="B140" s="16"/>
      <c r="C140" s="16"/>
      <c r="D140" s="16"/>
      <c r="E140" s="16"/>
      <c r="F140" s="24"/>
      <c r="G140" s="24"/>
      <c r="H140" s="24"/>
      <c r="I140" s="24"/>
      <c r="J140" s="24"/>
      <c r="K140" s="24"/>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B142" s="16"/>
      <c r="C142" s="98"/>
      <c r="D142" s="98"/>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t="e">
        <f>#REF!-#REF!</f>
        <v>#REF!</v>
      </c>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F231" s="25"/>
      <c r="G231" s="25"/>
      <c r="H231" s="25"/>
      <c r="I231" s="25"/>
      <c r="J231" s="25"/>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F232" s="25"/>
      <c r="G232" s="25"/>
      <c r="H232" s="25"/>
      <c r="I232" s="25"/>
      <c r="J232" s="25"/>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5"/>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5"/>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344"/>
  <sheetViews>
    <sheetView showGridLines="0" zoomScaleNormal="100" zoomScaleSheetLayoutView="143" zoomScalePageLayoutView="123" workbookViewId="0">
      <pane xSplit="2" ySplit="8" topLeftCell="C124" activePane="bottomRight" state="frozen"/>
      <selection activeCell="B107" sqref="B107"/>
      <selection pane="topRight" activeCell="B107" sqref="B107"/>
      <selection pane="bottomLeft" activeCell="B107" sqref="B107"/>
      <selection pane="bottomRight" activeCell="A134" sqref="A134"/>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63</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102" t="s">
        <v>51</v>
      </c>
      <c r="D6" s="103"/>
      <c r="E6" s="103"/>
      <c r="F6" s="16"/>
      <c r="G6" s="104" t="s">
        <v>52</v>
      </c>
      <c r="H6" s="105"/>
      <c r="I6" s="105"/>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335</v>
      </c>
      <c r="D122" s="36">
        <v>420</v>
      </c>
      <c r="E122" s="36">
        <v>420</v>
      </c>
      <c r="G122" s="36">
        <v>425</v>
      </c>
      <c r="H122" s="36">
        <v>455</v>
      </c>
      <c r="I122" s="36">
        <v>335</v>
      </c>
    </row>
    <row r="123" spans="2:36" x14ac:dyDescent="0.3">
      <c r="B123" s="42">
        <v>45566</v>
      </c>
      <c r="C123" s="38">
        <v>335</v>
      </c>
      <c r="D123" s="38">
        <v>420</v>
      </c>
      <c r="E123" s="38">
        <v>420</v>
      </c>
      <c r="F123" s="35"/>
      <c r="G123" s="38">
        <v>425</v>
      </c>
      <c r="H123" s="38">
        <v>455</v>
      </c>
      <c r="I123" s="38">
        <v>335</v>
      </c>
    </row>
    <row r="124" spans="2:36" x14ac:dyDescent="0.3">
      <c r="B124" s="41">
        <v>45597</v>
      </c>
      <c r="C124" s="36">
        <v>335</v>
      </c>
      <c r="D124" s="36">
        <v>420</v>
      </c>
      <c r="E124" s="36">
        <v>420</v>
      </c>
      <c r="G124" s="36">
        <v>425</v>
      </c>
      <c r="H124" s="36">
        <v>455</v>
      </c>
      <c r="I124" s="36">
        <v>335</v>
      </c>
    </row>
    <row r="125" spans="2:36" x14ac:dyDescent="0.3">
      <c r="B125" s="42">
        <v>45627</v>
      </c>
      <c r="C125" s="38">
        <v>335</v>
      </c>
      <c r="D125" s="38">
        <v>420</v>
      </c>
      <c r="E125" s="38">
        <v>420</v>
      </c>
      <c r="F125" s="35"/>
      <c r="G125" s="38">
        <v>425</v>
      </c>
      <c r="H125" s="38">
        <v>455</v>
      </c>
      <c r="I125" s="38">
        <v>335</v>
      </c>
    </row>
    <row r="126" spans="2:36" x14ac:dyDescent="0.3">
      <c r="B126" s="41">
        <v>45658</v>
      </c>
      <c r="C126" s="36">
        <v>335</v>
      </c>
      <c r="D126" s="36">
        <v>420</v>
      </c>
      <c r="E126" s="36">
        <v>420</v>
      </c>
      <c r="G126" s="36">
        <v>425</v>
      </c>
      <c r="H126" s="36">
        <v>455</v>
      </c>
      <c r="I126" s="36">
        <v>335</v>
      </c>
    </row>
    <row r="127" spans="2:36" x14ac:dyDescent="0.3">
      <c r="B127" s="42">
        <v>45689</v>
      </c>
      <c r="C127" s="38">
        <v>335</v>
      </c>
      <c r="D127" s="38">
        <v>420</v>
      </c>
      <c r="E127" s="38">
        <v>420</v>
      </c>
      <c r="F127" s="35"/>
      <c r="G127" s="38">
        <v>425</v>
      </c>
      <c r="H127" s="38">
        <v>455</v>
      </c>
      <c r="I127" s="38">
        <v>335</v>
      </c>
    </row>
    <row r="128" spans="2:36" x14ac:dyDescent="0.3">
      <c r="B128" s="41">
        <v>45717</v>
      </c>
      <c r="C128" s="36">
        <v>335</v>
      </c>
      <c r="D128" s="36">
        <v>420</v>
      </c>
      <c r="E128" s="36">
        <v>420</v>
      </c>
      <c r="G128" s="36">
        <v>425</v>
      </c>
      <c r="H128" s="36">
        <v>455</v>
      </c>
      <c r="I128" s="36">
        <v>335</v>
      </c>
    </row>
    <row r="129" spans="1:36" x14ac:dyDescent="0.3">
      <c r="B129" s="42">
        <v>45748</v>
      </c>
      <c r="C129" s="38">
        <v>335</v>
      </c>
      <c r="D129" s="38">
        <v>420</v>
      </c>
      <c r="E129" s="38">
        <v>420</v>
      </c>
      <c r="F129" s="35"/>
      <c r="G129" s="38">
        <v>425</v>
      </c>
      <c r="H129" s="38">
        <v>455</v>
      </c>
      <c r="I129" s="38">
        <v>335</v>
      </c>
    </row>
    <row r="130" spans="1:36" x14ac:dyDescent="0.3">
      <c r="B130" s="41">
        <v>45778</v>
      </c>
      <c r="C130" s="36">
        <v>335</v>
      </c>
      <c r="D130" s="36">
        <v>420</v>
      </c>
      <c r="E130" s="36">
        <v>420</v>
      </c>
      <c r="G130" s="36">
        <v>425</v>
      </c>
      <c r="H130" s="36">
        <v>455</v>
      </c>
      <c r="I130" s="36">
        <v>335</v>
      </c>
    </row>
    <row r="131" spans="1:36" x14ac:dyDescent="0.3">
      <c r="B131" s="42">
        <v>45809</v>
      </c>
      <c r="C131" s="38">
        <v>335</v>
      </c>
      <c r="D131" s="38">
        <v>420</v>
      </c>
      <c r="E131" s="38">
        <v>420</v>
      </c>
      <c r="F131" s="35"/>
      <c r="G131" s="38">
        <v>425</v>
      </c>
      <c r="H131" s="38">
        <v>455</v>
      </c>
      <c r="I131" s="38">
        <v>335</v>
      </c>
    </row>
    <row r="132" spans="1:36" x14ac:dyDescent="0.3">
      <c r="B132" s="41">
        <v>45839</v>
      </c>
      <c r="C132" s="36">
        <v>335</v>
      </c>
      <c r="D132" s="36">
        <v>420</v>
      </c>
      <c r="E132" s="36">
        <v>420</v>
      </c>
      <c r="G132" s="36">
        <v>425</v>
      </c>
      <c r="H132" s="36">
        <v>455</v>
      </c>
      <c r="I132" s="36">
        <v>335</v>
      </c>
    </row>
    <row r="133" spans="1:36" x14ac:dyDescent="0.3">
      <c r="B133" s="42">
        <v>45870</v>
      </c>
      <c r="C133" s="38">
        <v>335</v>
      </c>
      <c r="D133" s="38">
        <v>420</v>
      </c>
      <c r="E133" s="38">
        <v>420</v>
      </c>
      <c r="F133" s="35"/>
      <c r="G133" s="38">
        <v>425</v>
      </c>
      <c r="H133" s="38">
        <v>455</v>
      </c>
      <c r="I133" s="38">
        <v>335</v>
      </c>
    </row>
    <row r="134" spans="1:36" x14ac:dyDescent="0.3">
      <c r="A134" s="96" t="s">
        <v>53</v>
      </c>
      <c r="B134" s="41">
        <v>45901</v>
      </c>
      <c r="C134" s="36">
        <v>335</v>
      </c>
      <c r="D134" s="36">
        <v>420</v>
      </c>
      <c r="E134" s="36">
        <v>420</v>
      </c>
      <c r="G134" s="36">
        <v>425</v>
      </c>
      <c r="H134" s="36">
        <v>455</v>
      </c>
      <c r="I134" s="36">
        <v>335</v>
      </c>
    </row>
    <row r="135" spans="1:36" x14ac:dyDescent="0.3">
      <c r="B135" s="42">
        <v>45931</v>
      </c>
      <c r="C135" s="38">
        <v>335</v>
      </c>
      <c r="D135" s="38">
        <v>420</v>
      </c>
      <c r="E135" s="38">
        <v>420</v>
      </c>
      <c r="F135" s="35"/>
      <c r="G135" s="38">
        <v>425</v>
      </c>
      <c r="H135" s="38">
        <v>455</v>
      </c>
      <c r="I135" s="38">
        <v>335</v>
      </c>
    </row>
    <row r="136" spans="1:36" x14ac:dyDescent="0.3">
      <c r="B136" s="41">
        <v>45962</v>
      </c>
      <c r="C136" s="36">
        <v>335</v>
      </c>
      <c r="D136" s="36">
        <v>420</v>
      </c>
      <c r="E136" s="36">
        <v>420</v>
      </c>
      <c r="G136" s="36">
        <v>425</v>
      </c>
      <c r="H136" s="36">
        <v>455</v>
      </c>
      <c r="I136" s="36">
        <v>335</v>
      </c>
    </row>
    <row r="137" spans="1:36" x14ac:dyDescent="0.3">
      <c r="B137" s="42">
        <v>45992</v>
      </c>
      <c r="C137" s="38">
        <v>335</v>
      </c>
      <c r="D137" s="38">
        <v>420</v>
      </c>
      <c r="E137" s="38">
        <v>420</v>
      </c>
      <c r="F137" s="35"/>
      <c r="G137" s="38">
        <v>425</v>
      </c>
      <c r="H137" s="38">
        <v>455</v>
      </c>
      <c r="I137" s="38">
        <v>335</v>
      </c>
    </row>
    <row r="139" spans="1:36" x14ac:dyDescent="0.3">
      <c r="A139" s="96" t="s">
        <v>61</v>
      </c>
      <c r="B139" s="16"/>
      <c r="C139" s="24"/>
      <c r="D139" s="24"/>
      <c r="E139" s="24"/>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row>
    <row r="140" spans="1:36" x14ac:dyDescent="0.3">
      <c r="A140" s="16" t="s">
        <v>54</v>
      </c>
      <c r="B140" s="16"/>
      <c r="C140" s="24"/>
      <c r="D140" s="24"/>
      <c r="E140" s="24"/>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row>
    <row r="141" spans="1:36" x14ac:dyDescent="0.3">
      <c r="A141" s="16" t="s">
        <v>60</v>
      </c>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C234" s="25"/>
      <c r="D234" s="25"/>
      <c r="E234" s="25"/>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5"/>
      <c r="D235" s="25"/>
      <c r="E235" s="25"/>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10:36" x14ac:dyDescent="0.3">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10: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10: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10: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10: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10: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10: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10: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55</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102" t="s">
        <v>25</v>
      </c>
      <c r="G6" s="103"/>
      <c r="H6" s="103"/>
      <c r="I6" s="103"/>
      <c r="J6" s="103"/>
      <c r="K6" s="16"/>
      <c r="L6" s="104" t="s">
        <v>26</v>
      </c>
      <c r="M6" s="105"/>
      <c r="N6" s="105"/>
      <c r="O6" s="105"/>
      <c r="P6" s="105"/>
      <c r="Q6" s="105"/>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6" t="s">
        <v>1</v>
      </c>
      <c r="D8" s="107"/>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Q39"/>
  <sheetViews>
    <sheetView showGridLines="0" zoomScale="110" zoomScaleNormal="110" workbookViewId="0">
      <selection activeCell="K39" sqref="K39"/>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9"/>
      <c r="C2" s="113" t="s">
        <v>47</v>
      </c>
      <c r="D2" s="113"/>
      <c r="E2" s="113"/>
      <c r="F2" s="44"/>
      <c r="G2" s="45" t="s">
        <v>10</v>
      </c>
    </row>
    <row r="3" spans="1:17" ht="15" customHeight="1" x14ac:dyDescent="0.25">
      <c r="B3" s="110"/>
      <c r="C3" s="46" t="s">
        <v>2</v>
      </c>
      <c r="D3" s="46" t="s">
        <v>5</v>
      </c>
      <c r="E3" s="80" t="s">
        <v>3</v>
      </c>
      <c r="F3" s="19" t="s">
        <v>45</v>
      </c>
      <c r="G3" s="47">
        <f>B4</f>
        <v>45992</v>
      </c>
    </row>
    <row r="4" spans="1:17" ht="15.5" x14ac:dyDescent="0.25">
      <c r="B4" s="48">
        <v>45992</v>
      </c>
      <c r="C4" s="49">
        <f>VLOOKUP($B4,'AMPE-MCVE'!$B:$K,8,FALSE)</f>
        <v>17.578125</v>
      </c>
      <c r="D4" s="49">
        <f>VLOOKUP($B4,'AMPE-MCVE'!$B:$K,9,FALSE)</f>
        <v>0.59546127281697092</v>
      </c>
      <c r="E4" s="49">
        <f>VLOOKUP($B4,'AMPE-MCVE'!$B:$K,10,FALSE)</f>
        <v>11.708070678127985</v>
      </c>
      <c r="F4" s="50">
        <f>VLOOKUP($B4,'AMPE-MCVE'!$B:$D,2,FALSE)</f>
        <v>29.881656950944954</v>
      </c>
      <c r="G4" s="49"/>
      <c r="P4" s="78"/>
      <c r="Q4" s="78"/>
    </row>
    <row r="5" spans="1:17" ht="15.5" x14ac:dyDescent="0.25">
      <c r="B5" s="51">
        <f>EDATE(B4,-1)</f>
        <v>45962</v>
      </c>
      <c r="C5" s="52">
        <f>VLOOKUP($B5,'AMPE-MCVE'!$B:$K,8,FALSE)</f>
        <v>20.598958333333332</v>
      </c>
      <c r="D5" s="52">
        <f>VLOOKUP($B5,'AMPE-MCVE'!$B:$K,9,FALSE)</f>
        <v>0.629995066600888</v>
      </c>
      <c r="E5" s="52">
        <f>VLOOKUP($B5,'AMPE-MCVE'!$B:$K,10,FALSE)</f>
        <v>12.382865329512892</v>
      </c>
      <c r="F5" s="53">
        <f>VLOOKUP($B5,'AMPE-MCVE'!$B:$D,2,FALSE)</f>
        <v>33.611818729447108</v>
      </c>
      <c r="G5" s="70">
        <f>($F$4-F5)/F5</f>
        <v>-0.11097768343116114</v>
      </c>
      <c r="P5" s="78"/>
      <c r="Q5" s="78"/>
    </row>
    <row r="6" spans="1:17" ht="15.5" x14ac:dyDescent="0.25">
      <c r="B6" s="54">
        <f>EDATE(B4,-12)</f>
        <v>45627</v>
      </c>
      <c r="C6" s="49">
        <f>VLOOKUP($B6,'AMPE-MCVE'!$B:$K,8,FALSE)</f>
        <v>31.953125</v>
      </c>
      <c r="D6" s="49">
        <f>VLOOKUP($B6,'AMPE-MCVE'!$B:$K,9,FALSE)</f>
        <v>0.77799703996053282</v>
      </c>
      <c r="E6" s="49">
        <f>VLOOKUP($B6,'AMPE-MCVE'!$B:$K,10,FALSE)</f>
        <v>15.376195343436274</v>
      </c>
      <c r="F6" s="50">
        <f>VLOOKUP($B6,'AMPE-MCVE'!$B:$D,2,FALSE)</f>
        <v>48.107317383396804</v>
      </c>
      <c r="G6" s="55">
        <f>($F$4-F6)/F6</f>
        <v>-0.3788542247575426</v>
      </c>
      <c r="P6" s="78"/>
      <c r="Q6" s="78"/>
    </row>
    <row r="7" spans="1:17" ht="15.5" x14ac:dyDescent="0.25">
      <c r="B7" s="56"/>
      <c r="C7" s="57"/>
      <c r="D7" s="57"/>
      <c r="E7" s="57"/>
      <c r="F7" s="58"/>
      <c r="G7" s="59"/>
      <c r="P7" s="78"/>
      <c r="Q7" s="78"/>
    </row>
    <row r="8" spans="1:17" ht="15.5" x14ac:dyDescent="0.35">
      <c r="B8" s="109"/>
      <c r="C8" s="108" t="s">
        <v>48</v>
      </c>
      <c r="D8" s="108"/>
      <c r="E8" s="108"/>
      <c r="F8" s="60"/>
      <c r="G8" s="45" t="s">
        <v>10</v>
      </c>
      <c r="P8" s="78"/>
      <c r="Q8" s="78"/>
    </row>
    <row r="9" spans="1:17" ht="15.5" x14ac:dyDescent="0.25">
      <c r="B9" s="110"/>
      <c r="C9" s="46" t="s">
        <v>7</v>
      </c>
      <c r="D9" s="46" t="s">
        <v>9</v>
      </c>
      <c r="E9" s="46" t="s">
        <v>8</v>
      </c>
      <c r="F9" s="19" t="s">
        <v>46</v>
      </c>
      <c r="G9" s="47">
        <f>B10</f>
        <v>45992</v>
      </c>
      <c r="P9" s="78"/>
      <c r="Q9" s="78"/>
    </row>
    <row r="10" spans="1:17" ht="15.5" x14ac:dyDescent="0.25">
      <c r="B10" s="48">
        <f>B4</f>
        <v>45992</v>
      </c>
      <c r="C10" s="49">
        <f>VLOOKUP($B10,'AMPE-MCVE'!$B:$R,15,FALSE)</f>
        <v>27.144469525959369</v>
      </c>
      <c r="D10" s="49">
        <f>VLOOKUP($B10,'AMPE-MCVE'!$B:$R,16,FALSE)</f>
        <v>2.8012819638452195</v>
      </c>
      <c r="E10" s="49">
        <f>VLOOKUP($B10,'AMPE-MCVE'!$B:$R,17,FALSE)</f>
        <v>1.511611374407583</v>
      </c>
      <c r="F10" s="50">
        <f>VLOOKUP($B10,'AMPE-MCVE'!$B:$D,3,FALSE)</f>
        <v>31.457362864212172</v>
      </c>
      <c r="G10" s="49"/>
    </row>
    <row r="11" spans="1:17" ht="15.5" x14ac:dyDescent="0.25">
      <c r="B11" s="51">
        <f>B5</f>
        <v>45962</v>
      </c>
      <c r="C11" s="52">
        <f>VLOOKUP($B11,'AMPE-MCVE'!$B:$R,15,FALSE)</f>
        <v>28.611738148984198</v>
      </c>
      <c r="D11" s="52">
        <f>VLOOKUP($B11,'AMPE-MCVE'!$B:$R,16,FALSE)</f>
        <v>2.6384073957348462</v>
      </c>
      <c r="E11" s="52">
        <f>VLOOKUP($B11,'AMPE-MCVE'!$B:$R,17,FALSE)</f>
        <v>1.7727488151658768</v>
      </c>
      <c r="F11" s="53">
        <f>VLOOKUP($B11,'AMPE-MCVE'!$B:$D,3,FALSE)</f>
        <v>33.022894359884923</v>
      </c>
      <c r="G11" s="70">
        <f>($F$10-F11)/F11</f>
        <v>-4.7407458553194073E-2</v>
      </c>
    </row>
    <row r="12" spans="1:17" ht="15.5" x14ac:dyDescent="0.25">
      <c r="B12" s="54">
        <f>B6</f>
        <v>45627</v>
      </c>
      <c r="C12" s="49">
        <f>VLOOKUP($B12,'AMPE-MCVE'!$B:$R,15,FALSE)</f>
        <v>41.252821670428894</v>
      </c>
      <c r="D12" s="49">
        <f>VLOOKUP($B12,'AMPE-MCVE'!$B:$R,16,FALSE)</f>
        <v>2.2089354225680378</v>
      </c>
      <c r="E12" s="49">
        <f>VLOOKUP($B12,'AMPE-MCVE'!$B:$R,17,FALSE)</f>
        <v>2.7542654028436018</v>
      </c>
      <c r="F12" s="50">
        <f>VLOOKUP($B12,'AMPE-MCVE'!$B:$D,3,FALSE)</f>
        <v>46.216022495840534</v>
      </c>
      <c r="G12" s="55">
        <f>($F$10-F12)/F12</f>
        <v>-0.31934075748203233</v>
      </c>
    </row>
    <row r="13" spans="1:17" ht="15.5" x14ac:dyDescent="0.35">
      <c r="B13" s="61" t="s">
        <v>11</v>
      </c>
      <c r="C13" s="57"/>
      <c r="D13" s="62"/>
      <c r="E13" s="62"/>
      <c r="F13" s="62"/>
      <c r="G13" s="62"/>
    </row>
    <row r="16" spans="1:17" ht="13" hidden="1" x14ac:dyDescent="0.3">
      <c r="A16" s="73">
        <v>2014</v>
      </c>
      <c r="B16" s="86" t="s">
        <v>56</v>
      </c>
    </row>
    <row r="17" spans="2:7" ht="15.5" hidden="1" x14ac:dyDescent="0.35">
      <c r="B17" s="109"/>
      <c r="C17" s="108" t="s">
        <v>31</v>
      </c>
      <c r="D17" s="108"/>
      <c r="E17" s="108"/>
      <c r="F17" s="44"/>
      <c r="G17" s="45" t="s">
        <v>10</v>
      </c>
    </row>
    <row r="18" spans="2:7" ht="15.5" hidden="1" x14ac:dyDescent="0.25">
      <c r="B18" s="110"/>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9"/>
      <c r="C23" s="108" t="s">
        <v>32</v>
      </c>
      <c r="D23" s="108"/>
      <c r="E23" s="108"/>
      <c r="F23" s="60"/>
      <c r="G23" s="45" t="s">
        <v>10</v>
      </c>
    </row>
    <row r="24" spans="2:7" ht="12.75" hidden="1" customHeight="1" x14ac:dyDescent="0.25">
      <c r="B24" s="110"/>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11" t="s">
        <v>43</v>
      </c>
      <c r="D31" s="108"/>
      <c r="E31" s="112"/>
    </row>
    <row r="32" spans="2:7" ht="15.5" x14ac:dyDescent="0.25">
      <c r="C32" s="46"/>
      <c r="D32" s="46" t="s">
        <v>1</v>
      </c>
      <c r="E32" s="46" t="s">
        <v>44</v>
      </c>
    </row>
    <row r="33" spans="1:6" ht="15.5" x14ac:dyDescent="0.25">
      <c r="C33" s="48">
        <f t="shared" ref="C33:C36" si="0">EDATE(C34,-1)</f>
        <v>45839</v>
      </c>
      <c r="D33" s="79">
        <f>VLOOKUP($C33,MMV!$B:$D,2,FALSE)</f>
        <v>44.105344379280176</v>
      </c>
      <c r="E33" s="79">
        <f>VLOOKUP($C33,MMV!$B:$D,3,FALSE)</f>
        <v>-0.27835599001507916</v>
      </c>
    </row>
    <row r="34" spans="1:6" ht="15.5" x14ac:dyDescent="0.25">
      <c r="A34" s="3"/>
      <c r="C34" s="51">
        <f t="shared" si="0"/>
        <v>45870</v>
      </c>
      <c r="D34" s="52">
        <f>VLOOKUP($C34,MMV!$B:$D,2,FALSE)</f>
        <v>43.548155494057909</v>
      </c>
      <c r="E34" s="52">
        <f>VLOOKUP($C34,MMV!$B:$D,3,FALSE)</f>
        <v>-0.55718888522226706</v>
      </c>
    </row>
    <row r="35" spans="1:6" ht="15.5" x14ac:dyDescent="0.25">
      <c r="C35" s="48">
        <f t="shared" si="0"/>
        <v>45901</v>
      </c>
      <c r="D35" s="49">
        <f>VLOOKUP($C35,MMV!$B:$D,2,FALSE)</f>
        <v>39.027024320002511</v>
      </c>
      <c r="E35" s="49">
        <f>VLOOKUP($C35,MMV!$B:$D,3,FALSE)</f>
        <v>-4.5211311740553981</v>
      </c>
    </row>
    <row r="36" spans="1:6" ht="15.5" x14ac:dyDescent="0.25">
      <c r="C36" s="51">
        <f t="shared" si="0"/>
        <v>45931</v>
      </c>
      <c r="D36" s="52">
        <f>VLOOKUP($C36,MMV!$B:$D,2,FALSE)</f>
        <v>34.887648545009831</v>
      </c>
      <c r="E36" s="52">
        <f>VLOOKUP($C36,MMV!$B:$D,3,FALSE)</f>
        <v>-4.1393757749926792</v>
      </c>
    </row>
    <row r="37" spans="1:6" ht="15.5" x14ac:dyDescent="0.25">
      <c r="C37" s="48">
        <f>EDATE(C38,-1)</f>
        <v>45962</v>
      </c>
      <c r="D37" s="49">
        <f>VLOOKUP($C37,MMV!$B:$D,2,FALSE)</f>
        <v>33.140679233797364</v>
      </c>
      <c r="E37" s="49">
        <f>VLOOKUP($C37,MMV!$B:$D,3,FALSE)</f>
        <v>-1.7469693112124673</v>
      </c>
    </row>
    <row r="38" spans="1:6" ht="15.5" x14ac:dyDescent="0.25">
      <c r="C38" s="51">
        <f>B4</f>
        <v>45992</v>
      </c>
      <c r="D38" s="52">
        <f>VLOOKUP($C38,MMV!$B:$D,2,FALSE)</f>
        <v>31.14222168155873</v>
      </c>
      <c r="E38" s="52">
        <f>VLOOKUP($C38,MMV!$B:$D,3,FALSE)</f>
        <v>-1.9984575522386336</v>
      </c>
      <c r="F38" s="89"/>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showGridLines="0" tabSelected="1" zoomScale="89" zoomScaleNormal="110" workbookViewId="0">
      <selection activeCell="J40" sqref="J40"/>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43"/>
  <sheetViews>
    <sheetView showGridLines="0" topLeftCell="A7" zoomScaleNormal="100" workbookViewId="0">
      <selection activeCell="N6" sqref="N6"/>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4" t="s">
        <v>39</v>
      </c>
      <c r="B4" s="114"/>
      <c r="C4" s="114"/>
      <c r="D4" s="114"/>
      <c r="E4" s="114"/>
      <c r="F4" s="114"/>
      <c r="G4" s="114"/>
      <c r="H4" s="114"/>
      <c r="I4" s="114"/>
      <c r="J4" s="114"/>
      <c r="K4" s="114"/>
    </row>
    <row r="5" spans="1:11" s="27" customFormat="1" ht="34.5" customHeight="1" x14ac:dyDescent="0.3">
      <c r="A5" s="114"/>
      <c r="B5" s="114"/>
      <c r="C5" s="114"/>
      <c r="D5" s="114"/>
      <c r="E5" s="114"/>
      <c r="F5" s="114"/>
      <c r="G5" s="114"/>
      <c r="H5" s="114"/>
      <c r="I5" s="114"/>
      <c r="J5" s="114"/>
      <c r="K5" s="114"/>
    </row>
    <row r="6" spans="1:11" s="27" customFormat="1" ht="34.5" customHeight="1" x14ac:dyDescent="0.3">
      <c r="A6" s="97" t="s">
        <v>62</v>
      </c>
      <c r="B6" s="92"/>
      <c r="C6" s="92"/>
      <c r="D6" s="92"/>
      <c r="E6" s="92"/>
      <c r="F6" s="92"/>
      <c r="G6" s="92"/>
      <c r="H6" s="92"/>
      <c r="I6" s="92"/>
      <c r="J6" s="92"/>
      <c r="K6" s="92"/>
    </row>
    <row r="7" spans="1:11" s="29" customFormat="1" ht="21" customHeight="1" x14ac:dyDescent="0.35">
      <c r="A7" s="29" t="s">
        <v>34</v>
      </c>
    </row>
    <row r="8" spans="1:11" s="29" customFormat="1" ht="21" customHeight="1" x14ac:dyDescent="0.35">
      <c r="A8" s="90" t="s">
        <v>58</v>
      </c>
    </row>
    <row r="9" spans="1:11" s="27" customFormat="1" ht="51" customHeight="1" x14ac:dyDescent="0.3">
      <c r="A9" s="115" t="s">
        <v>20</v>
      </c>
      <c r="B9" s="115"/>
      <c r="C9" s="115"/>
      <c r="D9" s="115"/>
      <c r="E9" s="115"/>
      <c r="F9" s="115"/>
      <c r="G9" s="115"/>
      <c r="H9" s="115"/>
      <c r="I9" s="115"/>
      <c r="J9" s="115"/>
      <c r="K9" s="115"/>
    </row>
    <row r="10" spans="1:11" s="27" customFormat="1" ht="9.75" customHeight="1" x14ac:dyDescent="0.3"/>
    <row r="11" spans="1:11" s="27" customFormat="1" x14ac:dyDescent="0.3">
      <c r="A11" s="81" t="s">
        <v>33</v>
      </c>
    </row>
    <row r="12" spans="1:11" s="27" customFormat="1" ht="15" customHeight="1" thickBot="1" x14ac:dyDescent="0.35"/>
    <row r="13" spans="1:11" x14ac:dyDescent="0.35">
      <c r="A13" s="117" t="s">
        <v>12</v>
      </c>
      <c r="B13" s="117"/>
      <c r="C13" s="117"/>
      <c r="D13" s="117"/>
      <c r="E13" s="117"/>
      <c r="F13" s="117"/>
      <c r="G13" s="117"/>
      <c r="H13" s="117"/>
      <c r="I13" s="117"/>
      <c r="J13" s="117"/>
      <c r="K13" s="117"/>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8" t="s">
        <v>13</v>
      </c>
      <c r="B16" s="118"/>
      <c r="C16" s="118"/>
      <c r="D16" s="118"/>
      <c r="E16" s="118"/>
      <c r="F16" s="118"/>
      <c r="G16" s="118"/>
      <c r="H16" s="118"/>
      <c r="I16" s="118"/>
      <c r="J16" s="118"/>
      <c r="K16" s="118"/>
    </row>
    <row r="17" spans="1:11" s="30" customFormat="1" ht="13.4" customHeight="1" x14ac:dyDescent="0.3">
      <c r="A17" s="118"/>
      <c r="B17" s="118"/>
      <c r="C17" s="118"/>
      <c r="D17" s="118"/>
      <c r="E17" s="118"/>
      <c r="F17" s="118"/>
      <c r="G17" s="118"/>
      <c r="H17" s="118"/>
      <c r="I17" s="118"/>
      <c r="J17" s="118"/>
      <c r="K17" s="118"/>
    </row>
    <row r="18" spans="1:11" s="30" customFormat="1" ht="13.4" customHeight="1" x14ac:dyDescent="0.3">
      <c r="A18" s="118"/>
      <c r="B18" s="118"/>
      <c r="C18" s="118"/>
      <c r="D18" s="118"/>
      <c r="E18" s="118"/>
      <c r="F18" s="118"/>
      <c r="G18" s="118"/>
      <c r="H18" s="118"/>
      <c r="I18" s="118"/>
      <c r="J18" s="118"/>
      <c r="K18" s="118"/>
    </row>
    <row r="19" spans="1:11" s="30" customFormat="1" ht="13.4" customHeight="1" x14ac:dyDescent="0.3">
      <c r="A19" s="118"/>
      <c r="B19" s="118"/>
      <c r="C19" s="118"/>
      <c r="D19" s="118"/>
      <c r="E19" s="118"/>
      <c r="F19" s="118"/>
      <c r="G19" s="118"/>
      <c r="H19" s="118"/>
      <c r="I19" s="118"/>
      <c r="J19" s="118"/>
      <c r="K19" s="118"/>
    </row>
    <row r="20" spans="1:11" s="30" customFormat="1" x14ac:dyDescent="0.3">
      <c r="A20" s="118"/>
      <c r="B20" s="118"/>
      <c r="C20" s="118"/>
      <c r="D20" s="118"/>
      <c r="E20" s="118"/>
      <c r="F20" s="118"/>
      <c r="G20" s="118"/>
      <c r="H20" s="118"/>
      <c r="I20" s="118"/>
      <c r="J20" s="118"/>
      <c r="K20" s="118"/>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8"/>
      <c r="B22" s="118"/>
      <c r="C22" s="118"/>
      <c r="D22" s="118"/>
      <c r="E22" s="118"/>
      <c r="F22" s="118"/>
      <c r="G22" s="118"/>
      <c r="H22" s="118"/>
      <c r="I22" s="118"/>
      <c r="J22" s="118"/>
      <c r="K22" s="118"/>
    </row>
    <row r="23" spans="1:11" s="30" customFormat="1" ht="15" customHeight="1" x14ac:dyDescent="0.3">
      <c r="A23" s="118" t="s">
        <v>59</v>
      </c>
      <c r="B23" s="118"/>
      <c r="C23" s="118"/>
      <c r="D23" s="118"/>
      <c r="E23" s="118"/>
      <c r="F23" s="118"/>
      <c r="G23" s="118"/>
      <c r="H23" s="118"/>
      <c r="I23" s="118"/>
      <c r="J23" s="118"/>
      <c r="K23" s="118"/>
    </row>
    <row r="24" spans="1:11" ht="15" customHeight="1" thickBot="1" x14ac:dyDescent="0.35">
      <c r="A24" s="65"/>
      <c r="B24" s="65"/>
      <c r="C24" s="65"/>
      <c r="D24" s="65"/>
      <c r="E24" s="65"/>
      <c r="F24" s="65"/>
      <c r="G24" s="65"/>
      <c r="H24" s="65"/>
      <c r="I24" s="65"/>
      <c r="J24" s="65"/>
      <c r="K24" s="65"/>
    </row>
    <row r="25" spans="1:11" x14ac:dyDescent="0.35">
      <c r="A25" s="117" t="s">
        <v>14</v>
      </c>
      <c r="B25" s="117"/>
      <c r="C25" s="117"/>
      <c r="D25" s="117"/>
      <c r="E25" s="117"/>
      <c r="F25" s="117"/>
      <c r="G25" s="117"/>
      <c r="H25" s="117"/>
      <c r="I25" s="117"/>
      <c r="J25" s="117"/>
      <c r="K25" s="117"/>
    </row>
    <row r="26" spans="1:11" ht="15" customHeight="1" x14ac:dyDescent="0.35">
      <c r="A26" s="64"/>
      <c r="B26" s="64"/>
      <c r="C26" s="64"/>
      <c r="D26" s="64"/>
      <c r="E26" s="64"/>
      <c r="F26" s="64"/>
      <c r="G26" s="64"/>
      <c r="H26" s="64"/>
      <c r="I26" s="64"/>
      <c r="J26" s="64"/>
      <c r="K26" s="64"/>
    </row>
    <row r="27" spans="1:11" x14ac:dyDescent="0.3">
      <c r="A27" s="119" t="s">
        <v>23</v>
      </c>
      <c r="B27" s="120" t="s">
        <v>57</v>
      </c>
      <c r="C27" s="121"/>
      <c r="D27" s="121"/>
      <c r="E27" s="121"/>
      <c r="F27" s="121"/>
      <c r="G27" s="121"/>
      <c r="H27" s="121"/>
      <c r="I27" s="121"/>
      <c r="J27" s="121"/>
      <c r="K27" s="121"/>
    </row>
    <row r="28" spans="1:11" x14ac:dyDescent="0.3">
      <c r="A28" s="119"/>
      <c r="B28" s="121"/>
      <c r="C28" s="121"/>
      <c r="D28" s="121"/>
      <c r="E28" s="121"/>
      <c r="F28" s="121"/>
      <c r="G28" s="121"/>
      <c r="H28" s="121"/>
      <c r="I28" s="121"/>
      <c r="J28" s="121"/>
      <c r="K28" s="121"/>
    </row>
    <row r="29" spans="1:11" x14ac:dyDescent="0.3">
      <c r="A29" s="65"/>
      <c r="B29" s="121"/>
      <c r="C29" s="121"/>
      <c r="D29" s="121"/>
      <c r="E29" s="121"/>
      <c r="F29" s="121"/>
      <c r="G29" s="121"/>
      <c r="H29" s="121"/>
      <c r="I29" s="121"/>
      <c r="J29" s="121"/>
      <c r="K29" s="121"/>
    </row>
    <row r="30" spans="1:11" x14ac:dyDescent="0.3">
      <c r="B30" s="121"/>
      <c r="C30" s="121"/>
      <c r="D30" s="121"/>
      <c r="E30" s="121"/>
      <c r="F30" s="121"/>
      <c r="G30" s="121"/>
      <c r="H30" s="121"/>
      <c r="I30" s="121"/>
      <c r="J30" s="121"/>
      <c r="K30" s="121"/>
    </row>
    <row r="31" spans="1:11" x14ac:dyDescent="0.3">
      <c r="B31" s="121"/>
      <c r="C31" s="121"/>
      <c r="D31" s="121"/>
      <c r="E31" s="121"/>
      <c r="F31" s="121"/>
      <c r="G31" s="121"/>
      <c r="H31" s="121"/>
      <c r="I31" s="121"/>
      <c r="J31" s="121"/>
      <c r="K31" s="121"/>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22" t="s">
        <v>19</v>
      </c>
      <c r="C34" s="122"/>
      <c r="D34" s="122"/>
      <c r="E34" s="122"/>
      <c r="F34" s="122"/>
      <c r="G34" s="122"/>
      <c r="H34" s="122"/>
      <c r="I34" s="122"/>
      <c r="J34" s="122"/>
      <c r="K34" s="122"/>
    </row>
    <row r="35" spans="1:11" ht="15" customHeight="1" thickBot="1" x14ac:dyDescent="0.35">
      <c r="A35" s="69"/>
      <c r="B35" s="116"/>
      <c r="C35" s="116"/>
      <c r="D35" s="116"/>
      <c r="E35" s="116"/>
      <c r="F35" s="116"/>
      <c r="G35" s="116"/>
      <c r="H35" s="116"/>
      <c r="I35" s="116"/>
      <c r="J35" s="116"/>
      <c r="K35" s="116"/>
    </row>
    <row r="43" spans="1:11" x14ac:dyDescent="0.3">
      <c r="A43" s="32"/>
      <c r="B43" s="32"/>
      <c r="C43" s="32"/>
      <c r="D43" s="32"/>
      <c r="E43" s="32"/>
      <c r="F43" s="32"/>
      <c r="G43" s="32"/>
      <c r="H43" s="32"/>
      <c r="I43" s="32"/>
      <c r="J43" s="32"/>
      <c r="K43" s="32"/>
    </row>
  </sheetData>
  <mergeCells count="11">
    <mergeCell ref="A4:K5"/>
    <mergeCell ref="A9:K9"/>
    <mergeCell ref="B35:K35"/>
    <mergeCell ref="A13:K13"/>
    <mergeCell ref="A16:K20"/>
    <mergeCell ref="A22:K22"/>
    <mergeCell ref="A23:K23"/>
    <mergeCell ref="A25:K25"/>
    <mergeCell ref="A27:A28"/>
    <mergeCell ref="B27:K31"/>
    <mergeCell ref="B34:K34"/>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2025-12-18T13:29:20Z</dcterms:modified>
</cp:coreProperties>
</file>